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gif" ContentType="image/gif"/>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codeName="{8C4F1C90-05EB-6A55-5F09-09C24B55AC0B}"/>
  <workbookPr codeName="ThisWorkbook" autoCompressPictures="0"/>
  <mc:AlternateContent xmlns:mc="http://schemas.openxmlformats.org/markup-compatibility/2006">
    <mc:Choice Requires="x15">
      <x15ac:absPath xmlns:x15ac="http://schemas.microsoft.com/office/spreadsheetml/2010/11/ac" url="/Users/michele castorina/Documents/ESA/Internal activities/ARTES C&amp;G OP/"/>
    </mc:Choice>
  </mc:AlternateContent>
  <bookViews>
    <workbookView xWindow="0" yWindow="460" windowWidth="33600" windowHeight="18940" activeTab="7"/>
  </bookViews>
  <sheets>
    <sheet name="0. Overview" sheetId="7" r:id="rId1"/>
    <sheet name="I.Input Data" sheetId="13" r:id="rId2"/>
    <sheet name="II. Revenues" sheetId="8" r:id="rId3"/>
    <sheet name="III. Costs" sheetId="9" r:id="rId4"/>
    <sheet name="IV. Profit&amp;Loss + Cash Flow" sheetId="4" r:id="rId5"/>
    <sheet name="Depreciation" sheetId="12" r:id="rId6"/>
    <sheet name="SUPPORT" sheetId="15" r:id="rId7"/>
    <sheet name="Change Log" sheetId="16" r:id="rId8"/>
  </sheets>
  <externalReferences>
    <externalReference r:id="rId9"/>
  </externalReferences>
  <definedNames>
    <definedName name="_">[1]assumptions!#REF!</definedName>
    <definedName name="consumer">[1]assumptions!#REF!</definedName>
    <definedName name="temp">[1]assumptions!#REF!</definedName>
    <definedName name="temp2">[1]assumptions!#REF!</definedName>
    <definedName name="YES_NO">SUPPORT!$H$1:$H$2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1" i="4" l="1"/>
  <c r="D21" i="4"/>
  <c r="F21" i="4"/>
  <c r="G21" i="4"/>
  <c r="H21" i="4"/>
  <c r="I21" i="4"/>
  <c r="L20" i="4"/>
  <c r="N58" i="13"/>
  <c r="O58" i="13"/>
  <c r="P58" i="13"/>
  <c r="Q58" i="13"/>
  <c r="R58" i="13"/>
  <c r="S58" i="13"/>
  <c r="T58" i="13"/>
  <c r="U58" i="13"/>
  <c r="V58" i="13"/>
  <c r="W58" i="13"/>
  <c r="M58" i="13"/>
  <c r="N55" i="13"/>
  <c r="O55" i="13"/>
  <c r="P55" i="13"/>
  <c r="Q55" i="13"/>
  <c r="R55" i="13"/>
  <c r="S55" i="13"/>
  <c r="T55" i="13"/>
  <c r="U55" i="13"/>
  <c r="V55" i="13"/>
  <c r="W55" i="13"/>
  <c r="M55" i="13"/>
  <c r="N52" i="13"/>
  <c r="O52" i="13"/>
  <c r="P52" i="13"/>
  <c r="Q52" i="13"/>
  <c r="R52" i="13"/>
  <c r="S52" i="13"/>
  <c r="T52" i="13"/>
  <c r="U52" i="13"/>
  <c r="V52" i="13"/>
  <c r="W52" i="13"/>
  <c r="M52" i="13"/>
  <c r="O22" i="9"/>
  <c r="O16" i="4"/>
  <c r="P22" i="9"/>
  <c r="P16" i="4"/>
  <c r="Q22" i="9"/>
  <c r="Q16" i="4"/>
  <c r="R22" i="9"/>
  <c r="R16" i="4"/>
  <c r="N22" i="9"/>
  <c r="N16" i="4"/>
  <c r="O21" i="9"/>
  <c r="O15" i="4"/>
  <c r="N21" i="9"/>
  <c r="N15" i="4"/>
  <c r="O20" i="9"/>
  <c r="O14" i="4"/>
  <c r="P20" i="9"/>
  <c r="P14" i="4"/>
  <c r="Q20" i="9"/>
  <c r="R20" i="9"/>
  <c r="R14" i="4"/>
  <c r="S20" i="9"/>
  <c r="S14" i="4"/>
  <c r="T20" i="9"/>
  <c r="T14" i="4"/>
  <c r="U20" i="9"/>
  <c r="V20" i="9"/>
  <c r="X20" i="9"/>
  <c r="X14" i="4"/>
  <c r="W20" i="9"/>
  <c r="W14" i="4"/>
  <c r="N20" i="9"/>
  <c r="D14" i="8"/>
  <c r="E14" i="8"/>
  <c r="F14" i="8"/>
  <c r="G14" i="8"/>
  <c r="H14" i="8"/>
  <c r="I14" i="8"/>
  <c r="E7" i="8"/>
  <c r="I25" i="8"/>
  <c r="H25" i="8"/>
  <c r="F25" i="8"/>
  <c r="D13" i="8"/>
  <c r="E13" i="8"/>
  <c r="F13" i="8"/>
  <c r="E6" i="8"/>
  <c r="F24" i="8"/>
  <c r="E24" i="8"/>
  <c r="D24" i="8"/>
  <c r="D6" i="8"/>
  <c r="E20" i="8"/>
  <c r="F20" i="8"/>
  <c r="G20" i="8"/>
  <c r="H20" i="8"/>
  <c r="I20" i="8"/>
  <c r="J20" i="8"/>
  <c r="K20" i="8"/>
  <c r="L20" i="8"/>
  <c r="M20" i="8"/>
  <c r="N20" i="8"/>
  <c r="D7" i="8"/>
  <c r="E21" i="8"/>
  <c r="F21" i="8"/>
  <c r="G21" i="8"/>
  <c r="H21" i="8"/>
  <c r="I21" i="8"/>
  <c r="J21" i="8"/>
  <c r="K21" i="8"/>
  <c r="L21" i="8"/>
  <c r="M21" i="8"/>
  <c r="N21" i="8"/>
  <c r="D8" i="8"/>
  <c r="E22" i="8"/>
  <c r="F22" i="8"/>
  <c r="G22" i="8"/>
  <c r="H22" i="8"/>
  <c r="I22" i="8"/>
  <c r="J22" i="8"/>
  <c r="K22" i="8"/>
  <c r="L22" i="8"/>
  <c r="M22" i="8"/>
  <c r="N22" i="8"/>
  <c r="D22" i="8"/>
  <c r="D21" i="8"/>
  <c r="D20" i="8"/>
  <c r="C8" i="8"/>
  <c r="E18" i="8"/>
  <c r="F18" i="8"/>
  <c r="G18" i="8"/>
  <c r="H18" i="8"/>
  <c r="I18" i="8"/>
  <c r="J18" i="8"/>
  <c r="K18" i="8"/>
  <c r="L18" i="8"/>
  <c r="M18" i="8"/>
  <c r="N18" i="8"/>
  <c r="C7" i="8"/>
  <c r="E17" i="8"/>
  <c r="F17" i="8"/>
  <c r="G17" i="8"/>
  <c r="H17" i="8"/>
  <c r="I17" i="8"/>
  <c r="J17" i="8"/>
  <c r="K17" i="8"/>
  <c r="L17" i="8"/>
  <c r="M17" i="8"/>
  <c r="N17" i="8"/>
  <c r="D18" i="8"/>
  <c r="D17" i="8"/>
  <c r="C6" i="8"/>
  <c r="E16" i="8"/>
  <c r="F16" i="8"/>
  <c r="G16" i="8"/>
  <c r="H16" i="8"/>
  <c r="I16" i="8"/>
  <c r="J16" i="8"/>
  <c r="K16" i="8"/>
  <c r="L16" i="8"/>
  <c r="M16" i="8"/>
  <c r="N16" i="8"/>
  <c r="D16" i="8"/>
  <c r="D15" i="8"/>
  <c r="E15" i="8"/>
  <c r="F15" i="8"/>
  <c r="G15" i="8"/>
  <c r="H15" i="8"/>
  <c r="I15" i="8"/>
  <c r="J15" i="8"/>
  <c r="K15" i="8"/>
  <c r="L15" i="8"/>
  <c r="M15" i="8"/>
  <c r="N15" i="8"/>
  <c r="J14" i="8"/>
  <c r="K14" i="8"/>
  <c r="L14" i="8"/>
  <c r="M14" i="8"/>
  <c r="N14" i="8"/>
  <c r="G13" i="8"/>
  <c r="H13" i="8"/>
  <c r="I13" i="8"/>
  <c r="J13" i="8"/>
  <c r="K13" i="8"/>
  <c r="L13" i="8"/>
  <c r="M13" i="8"/>
  <c r="N13" i="8"/>
  <c r="M24" i="8"/>
  <c r="C6" i="4"/>
  <c r="N24" i="8"/>
  <c r="I10" i="13"/>
  <c r="I9" i="13"/>
  <c r="I8" i="13"/>
  <c r="I7" i="13"/>
  <c r="I11" i="13"/>
  <c r="J11" i="13"/>
  <c r="J10" i="13"/>
  <c r="J9" i="13"/>
  <c r="J8" i="13"/>
  <c r="J7" i="13"/>
  <c r="H10" i="13"/>
  <c r="H9" i="13"/>
  <c r="H8" i="13"/>
  <c r="H7" i="13"/>
  <c r="M11" i="13"/>
  <c r="M9" i="13"/>
  <c r="M8" i="13"/>
  <c r="M7" i="13"/>
  <c r="M10" i="13"/>
  <c r="L10" i="13"/>
  <c r="L11" i="13"/>
  <c r="L9" i="13"/>
  <c r="L8" i="13"/>
  <c r="L7" i="13"/>
  <c r="K11" i="13"/>
  <c r="K10" i="13"/>
  <c r="K9" i="13"/>
  <c r="K8" i="13"/>
  <c r="K7" i="13"/>
  <c r="E31" i="13"/>
  <c r="P31" i="13"/>
  <c r="L31" i="13"/>
  <c r="H31" i="13"/>
  <c r="D31" i="13"/>
  <c r="S31" i="13"/>
  <c r="O31" i="13"/>
  <c r="K31" i="13"/>
  <c r="G31" i="13"/>
  <c r="C31" i="13"/>
  <c r="R31" i="13"/>
  <c r="N31" i="13"/>
  <c r="J31" i="13"/>
  <c r="F31" i="13"/>
  <c r="Q31" i="13"/>
  <c r="M31" i="13"/>
  <c r="I31" i="13"/>
  <c r="L32" i="13"/>
  <c r="S32" i="13"/>
  <c r="O32" i="13"/>
  <c r="K32" i="13"/>
  <c r="F32" i="13"/>
  <c r="J32" i="13"/>
  <c r="R32" i="13"/>
  <c r="N32" i="13"/>
  <c r="I32" i="13"/>
  <c r="E32" i="13"/>
  <c r="Q32" i="13"/>
  <c r="M32" i="13"/>
  <c r="H32" i="13"/>
  <c r="D32" i="13"/>
  <c r="P32" i="13"/>
  <c r="G32" i="13"/>
  <c r="C32" i="13"/>
  <c r="Q34" i="13"/>
  <c r="M34" i="13"/>
  <c r="I34" i="13"/>
  <c r="E34" i="13"/>
  <c r="P34" i="13"/>
  <c r="L34" i="13"/>
  <c r="H34" i="13"/>
  <c r="D34" i="13"/>
  <c r="S34" i="13"/>
  <c r="O34" i="13"/>
  <c r="K34" i="13"/>
  <c r="G34" i="13"/>
  <c r="C34" i="13"/>
  <c r="F34" i="13"/>
  <c r="J34" i="13"/>
  <c r="A34" i="13"/>
  <c r="R34" i="13"/>
  <c r="N34" i="13"/>
  <c r="R33" i="13"/>
  <c r="N33" i="13"/>
  <c r="J33" i="13"/>
  <c r="F33" i="13"/>
  <c r="Q33" i="13"/>
  <c r="M33" i="13"/>
  <c r="I33" i="13"/>
  <c r="E33" i="13"/>
  <c r="P33" i="13"/>
  <c r="L33" i="13"/>
  <c r="H33" i="13"/>
  <c r="D33" i="13"/>
  <c r="S33" i="13"/>
  <c r="O33" i="13"/>
  <c r="K33" i="13"/>
  <c r="G33" i="13"/>
  <c r="C33" i="13"/>
  <c r="V32" i="13"/>
  <c r="T32" i="13"/>
  <c r="W32" i="13"/>
  <c r="U32" i="13"/>
  <c r="A32" i="13"/>
  <c r="A31" i="13"/>
  <c r="A33" i="13"/>
  <c r="W31" i="13"/>
  <c r="V31" i="13"/>
  <c r="U31" i="13"/>
  <c r="T31" i="13"/>
  <c r="T33" i="13"/>
  <c r="W33" i="13"/>
  <c r="V33" i="13"/>
  <c r="U33" i="13"/>
  <c r="W34" i="13"/>
  <c r="V34" i="13"/>
  <c r="T34" i="13"/>
  <c r="U34" i="13"/>
  <c r="X31" i="9"/>
  <c r="W31" i="9"/>
  <c r="V31" i="9"/>
  <c r="U31" i="9"/>
  <c r="T31" i="9"/>
  <c r="S31" i="9"/>
  <c r="X30" i="9"/>
  <c r="W30" i="9"/>
  <c r="V30" i="9"/>
  <c r="U30" i="9"/>
  <c r="T30" i="9"/>
  <c r="S30" i="9"/>
  <c r="X28" i="9"/>
  <c r="W28" i="9"/>
  <c r="V28" i="9"/>
  <c r="U28" i="9"/>
  <c r="T28" i="9"/>
  <c r="S28" i="9"/>
  <c r="X27" i="9"/>
  <c r="W27" i="9"/>
  <c r="V27" i="9"/>
  <c r="U27" i="9"/>
  <c r="T27" i="9"/>
  <c r="S27" i="9"/>
  <c r="X26" i="9"/>
  <c r="X18" i="4"/>
  <c r="W26" i="9"/>
  <c r="W18" i="4"/>
  <c r="V26" i="9"/>
  <c r="V18" i="4"/>
  <c r="U26" i="9"/>
  <c r="U18" i="4"/>
  <c r="T26" i="9"/>
  <c r="T18" i="4"/>
  <c r="S26" i="9"/>
  <c r="S18" i="4"/>
  <c r="X25" i="9"/>
  <c r="W25" i="9"/>
  <c r="V25" i="9"/>
  <c r="U25" i="9"/>
  <c r="T25" i="9"/>
  <c r="S25" i="9"/>
  <c r="X24" i="9"/>
  <c r="W24" i="9"/>
  <c r="V24" i="9"/>
  <c r="U24" i="9"/>
  <c r="T24" i="9"/>
  <c r="S24" i="9"/>
  <c r="X23" i="9"/>
  <c r="W23" i="9"/>
  <c r="V23" i="9"/>
  <c r="V17" i="4"/>
  <c r="U23" i="9"/>
  <c r="T23" i="9"/>
  <c r="S23" i="9"/>
  <c r="S17" i="4"/>
  <c r="V14" i="4"/>
  <c r="U14" i="4"/>
  <c r="X19" i="9"/>
  <c r="W19" i="9"/>
  <c r="V19" i="9"/>
  <c r="U19" i="9"/>
  <c r="T19" i="9"/>
  <c r="S19" i="9"/>
  <c r="X18" i="9"/>
  <c r="W18" i="9"/>
  <c r="V18" i="9"/>
  <c r="U18" i="9"/>
  <c r="T18" i="9"/>
  <c r="S18" i="9"/>
  <c r="X17" i="9"/>
  <c r="W17" i="9"/>
  <c r="V17" i="9"/>
  <c r="U17" i="9"/>
  <c r="T17" i="9"/>
  <c r="S17" i="9"/>
  <c r="X16" i="9"/>
  <c r="W16" i="9"/>
  <c r="V16" i="9"/>
  <c r="U16" i="9"/>
  <c r="T16" i="9"/>
  <c r="S16" i="9"/>
  <c r="X15" i="9"/>
  <c r="W15" i="9"/>
  <c r="W13" i="4"/>
  <c r="V15" i="9"/>
  <c r="V13" i="4"/>
  <c r="U15" i="9"/>
  <c r="T15" i="9"/>
  <c r="S15" i="9"/>
  <c r="S13" i="4"/>
  <c r="L24" i="8"/>
  <c r="K24" i="8"/>
  <c r="J24" i="8"/>
  <c r="I24" i="8"/>
  <c r="V29" i="9"/>
  <c r="V32" i="9"/>
  <c r="W17" i="4"/>
  <c r="S29" i="9"/>
  <c r="W29" i="9"/>
  <c r="W32" i="9"/>
  <c r="W30" i="4"/>
  <c r="S32" i="9"/>
  <c r="T13" i="4"/>
  <c r="X13" i="4"/>
  <c r="T17" i="4"/>
  <c r="X17" i="4"/>
  <c r="T29" i="9"/>
  <c r="X29" i="9"/>
  <c r="T32" i="9"/>
  <c r="X32" i="9"/>
  <c r="U13" i="4"/>
  <c r="U17" i="4"/>
  <c r="U29" i="9"/>
  <c r="U32" i="9"/>
  <c r="T30" i="4"/>
  <c r="S30" i="4"/>
  <c r="V30" i="4"/>
  <c r="U30" i="4"/>
  <c r="X30" i="4"/>
  <c r="M79" i="13"/>
  <c r="M67" i="13"/>
  <c r="P15" i="9"/>
  <c r="P16" i="9"/>
  <c r="P17" i="9"/>
  <c r="P18" i="9"/>
  <c r="P19" i="9"/>
  <c r="P13" i="4"/>
  <c r="P23" i="9"/>
  <c r="P24" i="9"/>
  <c r="P25" i="9"/>
  <c r="P17" i="4"/>
  <c r="P26" i="9"/>
  <c r="P18" i="4"/>
  <c r="P7" i="9"/>
  <c r="P8" i="9"/>
  <c r="P9" i="9"/>
  <c r="P10" i="9"/>
  <c r="P19" i="4"/>
  <c r="P11" i="9"/>
  <c r="P12" i="9"/>
  <c r="P13" i="9"/>
  <c r="P14" i="9"/>
  <c r="P20" i="4"/>
  <c r="P21" i="4"/>
  <c r="F19" i="8"/>
  <c r="P9" i="4"/>
  <c r="F23" i="8"/>
  <c r="P10" i="4"/>
  <c r="E8" i="8"/>
  <c r="F26" i="8"/>
  <c r="F27" i="8"/>
  <c r="P11" i="4"/>
  <c r="P12" i="4"/>
  <c r="N15" i="9"/>
  <c r="N16" i="9"/>
  <c r="N17" i="9"/>
  <c r="N18" i="9"/>
  <c r="N19" i="9"/>
  <c r="N13" i="4"/>
  <c r="N14" i="4"/>
  <c r="N23" i="9"/>
  <c r="N24" i="9"/>
  <c r="N25" i="9"/>
  <c r="N17" i="4"/>
  <c r="N26" i="9"/>
  <c r="N18" i="4"/>
  <c r="N7" i="9"/>
  <c r="N8" i="9"/>
  <c r="N9" i="9"/>
  <c r="N10" i="9"/>
  <c r="N19" i="4"/>
  <c r="N11" i="9"/>
  <c r="N12" i="9"/>
  <c r="N13" i="9"/>
  <c r="N14" i="9"/>
  <c r="N20" i="4"/>
  <c r="N21" i="4"/>
  <c r="D19" i="8"/>
  <c r="N9" i="4"/>
  <c r="D23" i="8"/>
  <c r="N10" i="4"/>
  <c r="D25" i="8"/>
  <c r="D26" i="8"/>
  <c r="D27" i="8"/>
  <c r="N11" i="4"/>
  <c r="N12" i="4"/>
  <c r="Q14" i="4"/>
  <c r="E28" i="4"/>
  <c r="F28" i="4"/>
  <c r="G28" i="4"/>
  <c r="H28" i="4"/>
  <c r="I28" i="4"/>
  <c r="J28" i="4"/>
  <c r="K28" i="4"/>
  <c r="L28" i="4"/>
  <c r="M28" i="4"/>
  <c r="D28" i="4"/>
  <c r="E25" i="4"/>
  <c r="F25" i="4"/>
  <c r="G25" i="4"/>
  <c r="H25" i="4"/>
  <c r="I25" i="4"/>
  <c r="J25" i="4"/>
  <c r="K25" i="4"/>
  <c r="L25" i="4"/>
  <c r="M25" i="4"/>
  <c r="D25" i="4"/>
  <c r="C18" i="4"/>
  <c r="C15" i="4"/>
  <c r="C16" i="4"/>
  <c r="C14" i="4"/>
  <c r="F33" i="12"/>
  <c r="Q34" i="12"/>
  <c r="R34" i="12"/>
  <c r="S34" i="12"/>
  <c r="T34" i="12"/>
  <c r="U34" i="12"/>
  <c r="C32" i="9"/>
  <c r="C35" i="12"/>
  <c r="C29" i="9"/>
  <c r="C10" i="12"/>
  <c r="F8" i="12"/>
  <c r="D33" i="12"/>
  <c r="D8" i="12"/>
  <c r="N7" i="4"/>
  <c r="C13" i="4"/>
  <c r="C12" i="4"/>
  <c r="C11" i="4"/>
  <c r="C10" i="4"/>
  <c r="C9" i="4"/>
  <c r="C31" i="9"/>
  <c r="C30" i="9"/>
  <c r="C28" i="9"/>
  <c r="C27" i="9"/>
  <c r="N31" i="9"/>
  <c r="O31" i="9"/>
  <c r="P31" i="9"/>
  <c r="Q31" i="9"/>
  <c r="R31" i="9"/>
  <c r="O30" i="9"/>
  <c r="P30" i="9"/>
  <c r="Q30" i="9"/>
  <c r="R30" i="9"/>
  <c r="N30" i="9"/>
  <c r="N28" i="9"/>
  <c r="O28" i="9"/>
  <c r="P28" i="9"/>
  <c r="Q28" i="9"/>
  <c r="R28" i="9"/>
  <c r="O27" i="9"/>
  <c r="P27" i="9"/>
  <c r="Q27" i="9"/>
  <c r="R27" i="9"/>
  <c r="N27" i="9"/>
  <c r="O26" i="9"/>
  <c r="O18" i="4"/>
  <c r="Q26" i="9"/>
  <c r="Q18" i="4"/>
  <c r="R26" i="9"/>
  <c r="R18" i="4"/>
  <c r="O24" i="9"/>
  <c r="Q24" i="9"/>
  <c r="R24" i="9"/>
  <c r="O25" i="9"/>
  <c r="Q25" i="9"/>
  <c r="R25" i="9"/>
  <c r="O23" i="9"/>
  <c r="Q23" i="9"/>
  <c r="R23" i="9"/>
  <c r="C24" i="9"/>
  <c r="C25" i="9"/>
  <c r="C23" i="9"/>
  <c r="O17" i="9"/>
  <c r="Q17" i="9"/>
  <c r="R17" i="9"/>
  <c r="O18" i="9"/>
  <c r="Q18" i="9"/>
  <c r="R18" i="9"/>
  <c r="O19" i="9"/>
  <c r="Q19" i="9"/>
  <c r="R19" i="9"/>
  <c r="O16" i="9"/>
  <c r="Q16" i="9"/>
  <c r="R16" i="9"/>
  <c r="O15" i="9"/>
  <c r="Q15" i="9"/>
  <c r="R15" i="9"/>
  <c r="C17" i="9"/>
  <c r="C18" i="9"/>
  <c r="C19" i="9"/>
  <c r="C16" i="9"/>
  <c r="N5" i="9"/>
  <c r="D11" i="8"/>
  <c r="B7" i="8"/>
  <c r="B8" i="8"/>
  <c r="B6" i="8"/>
  <c r="K82" i="13"/>
  <c r="K83" i="13"/>
  <c r="K81" i="13"/>
  <c r="M49" i="13"/>
  <c r="H24" i="8"/>
  <c r="G24" i="8"/>
  <c r="E26" i="8"/>
  <c r="I26" i="8"/>
  <c r="M26" i="8"/>
  <c r="J26" i="8"/>
  <c r="N26" i="8"/>
  <c r="G26" i="8"/>
  <c r="K26" i="8"/>
  <c r="H26" i="8"/>
  <c r="L26" i="8"/>
  <c r="L23" i="8"/>
  <c r="M23" i="8"/>
  <c r="L25" i="8"/>
  <c r="E25" i="8"/>
  <c r="M25" i="8"/>
  <c r="J25" i="8"/>
  <c r="N25" i="8"/>
  <c r="G25" i="8"/>
  <c r="K25" i="8"/>
  <c r="R17" i="4"/>
  <c r="O13" i="4"/>
  <c r="O17" i="4"/>
  <c r="R13" i="4"/>
  <c r="C29" i="8"/>
  <c r="Q13" i="4"/>
  <c r="Q17" i="4"/>
  <c r="C13" i="8"/>
  <c r="C22" i="8"/>
  <c r="O10" i="12"/>
  <c r="K10" i="12"/>
  <c r="O29" i="9"/>
  <c r="M35" i="12"/>
  <c r="Q32" i="9"/>
  <c r="I35" i="12"/>
  <c r="P10" i="12"/>
  <c r="L10" i="12"/>
  <c r="P29" i="9"/>
  <c r="N35" i="12"/>
  <c r="R32" i="9"/>
  <c r="J35" i="12"/>
  <c r="O35" i="12"/>
  <c r="P35" i="12"/>
  <c r="R29" i="9"/>
  <c r="L35" i="12"/>
  <c r="P32" i="9"/>
  <c r="H35" i="12"/>
  <c r="N32" i="9"/>
  <c r="F35" i="12"/>
  <c r="N29" i="9"/>
  <c r="M10" i="12"/>
  <c r="Q29" i="9"/>
  <c r="K35" i="12"/>
  <c r="O32" i="9"/>
  <c r="G35" i="12"/>
  <c r="C24" i="8"/>
  <c r="C28" i="8"/>
  <c r="C20" i="8"/>
  <c r="C15" i="8"/>
  <c r="C26" i="8"/>
  <c r="C30" i="8"/>
  <c r="C18" i="8"/>
  <c r="C14" i="8"/>
  <c r="C21" i="8"/>
  <c r="C25" i="8"/>
  <c r="C17" i="8"/>
  <c r="C16" i="8"/>
  <c r="M40" i="13"/>
  <c r="L27" i="8"/>
  <c r="M27" i="8"/>
  <c r="N23" i="8"/>
  <c r="X10" i="4"/>
  <c r="J27" i="8"/>
  <c r="J23" i="8"/>
  <c r="T10" i="4"/>
  <c r="N27" i="8"/>
  <c r="I27" i="8"/>
  <c r="K27" i="8"/>
  <c r="K23" i="8"/>
  <c r="U10" i="4"/>
  <c r="I29" i="8"/>
  <c r="G23" i="8"/>
  <c r="Q10" i="4"/>
  <c r="H23" i="8"/>
  <c r="R10" i="4"/>
  <c r="E23" i="8"/>
  <c r="O10" i="4"/>
  <c r="G27" i="8"/>
  <c r="H27" i="8"/>
  <c r="I23" i="8"/>
  <c r="S10" i="4"/>
  <c r="E27" i="8"/>
  <c r="N29" i="8"/>
  <c r="J29" i="8"/>
  <c r="F10" i="12"/>
  <c r="N30" i="4"/>
  <c r="H10" i="12"/>
  <c r="P30" i="4"/>
  <c r="J10" i="12"/>
  <c r="R30" i="4"/>
  <c r="I10" i="12"/>
  <c r="Q30" i="4"/>
  <c r="O30" i="4"/>
  <c r="W10" i="4"/>
  <c r="L29" i="8"/>
  <c r="V10" i="4"/>
  <c r="M29" i="8"/>
  <c r="K29" i="8"/>
  <c r="N19" i="8"/>
  <c r="N30" i="8"/>
  <c r="I19" i="8"/>
  <c r="I30" i="8"/>
  <c r="L30" i="8"/>
  <c r="L19" i="8"/>
  <c r="V9" i="4"/>
  <c r="K30" i="8"/>
  <c r="K19" i="8"/>
  <c r="J30" i="8"/>
  <c r="J19" i="8"/>
  <c r="T9" i="4"/>
  <c r="M30" i="8"/>
  <c r="M19" i="8"/>
  <c r="W9" i="4"/>
  <c r="G10" i="12"/>
  <c r="N10" i="12"/>
  <c r="F30" i="8"/>
  <c r="H19" i="8"/>
  <c r="R9" i="4"/>
  <c r="G19" i="8"/>
  <c r="Q9" i="4"/>
  <c r="E19" i="8"/>
  <c r="O9" i="4"/>
  <c r="D28" i="8"/>
  <c r="E30" i="8"/>
  <c r="E29" i="8"/>
  <c r="H29" i="8"/>
  <c r="G30" i="8"/>
  <c r="D30" i="8"/>
  <c r="H30" i="8"/>
  <c r="F29" i="8"/>
  <c r="G29" i="8"/>
  <c r="D29" i="8"/>
  <c r="M29" i="13"/>
  <c r="S9" i="4"/>
  <c r="N31" i="4"/>
  <c r="X9" i="4"/>
  <c r="U9" i="4"/>
  <c r="D31" i="8"/>
  <c r="E28" i="8"/>
  <c r="H10" i="9"/>
  <c r="H14" i="9"/>
  <c r="D8" i="9"/>
  <c r="D12" i="9"/>
  <c r="X7" i="9"/>
  <c r="O11" i="4"/>
  <c r="O12" i="4"/>
  <c r="O31" i="4"/>
  <c r="E31" i="8"/>
  <c r="F28" i="8"/>
  <c r="X11" i="9"/>
  <c r="W10" i="9"/>
  <c r="W14" i="9"/>
  <c r="Q10" i="9"/>
  <c r="Q14" i="9"/>
  <c r="U10" i="9"/>
  <c r="U14" i="9"/>
  <c r="O10" i="9"/>
  <c r="O14" i="9"/>
  <c r="T10" i="9"/>
  <c r="T14" i="9"/>
  <c r="S10" i="9"/>
  <c r="S14" i="9"/>
  <c r="X10" i="9"/>
  <c r="V10" i="9"/>
  <c r="V14" i="9"/>
  <c r="D9" i="9"/>
  <c r="D13" i="9"/>
  <c r="U9" i="9"/>
  <c r="U13" i="9"/>
  <c r="X9" i="9"/>
  <c r="X13" i="9"/>
  <c r="T9" i="9"/>
  <c r="T13" i="9"/>
  <c r="W9" i="9"/>
  <c r="W13" i="9"/>
  <c r="S9" i="9"/>
  <c r="S13" i="9"/>
  <c r="O9" i="9"/>
  <c r="O13" i="9"/>
  <c r="V9" i="9"/>
  <c r="V13" i="9"/>
  <c r="R9" i="9"/>
  <c r="R13" i="9"/>
  <c r="Q9" i="9"/>
  <c r="Q13" i="9"/>
  <c r="T8" i="9"/>
  <c r="T12" i="9"/>
  <c r="W8" i="9"/>
  <c r="W12" i="9"/>
  <c r="R8" i="9"/>
  <c r="R12" i="9"/>
  <c r="X8" i="9"/>
  <c r="X12" i="9"/>
  <c r="V8" i="9"/>
  <c r="V12" i="9"/>
  <c r="Q8" i="9"/>
  <c r="Q12" i="9"/>
  <c r="O8" i="9"/>
  <c r="O12" i="9"/>
  <c r="U8" i="9"/>
  <c r="U12" i="9"/>
  <c r="S8" i="9"/>
  <c r="S12" i="9"/>
  <c r="V7" i="9"/>
  <c r="O7" i="9"/>
  <c r="U7" i="9"/>
  <c r="W7" i="9"/>
  <c r="R7" i="9"/>
  <c r="Q7" i="9"/>
  <c r="S7" i="9"/>
  <c r="T7" i="9"/>
  <c r="M10" i="9"/>
  <c r="M14" i="9"/>
  <c r="L10" i="9"/>
  <c r="L14" i="9"/>
  <c r="I10" i="9"/>
  <c r="I14" i="9"/>
  <c r="G10" i="9"/>
  <c r="G14" i="9"/>
  <c r="F10" i="9"/>
  <c r="F14" i="9"/>
  <c r="R10" i="9"/>
  <c r="R14" i="9"/>
  <c r="K10" i="9"/>
  <c r="K14" i="9"/>
  <c r="J10" i="9"/>
  <c r="J14" i="9"/>
  <c r="F9" i="9"/>
  <c r="F13" i="9"/>
  <c r="E10" i="9"/>
  <c r="E14" i="9"/>
  <c r="D10" i="9"/>
  <c r="D14" i="9"/>
  <c r="I9" i="9"/>
  <c r="I13" i="9"/>
  <c r="H9" i="9"/>
  <c r="H13" i="9"/>
  <c r="G9" i="9"/>
  <c r="G13" i="9"/>
  <c r="E9" i="9"/>
  <c r="E13" i="9"/>
  <c r="J9" i="9"/>
  <c r="J13" i="9"/>
  <c r="L9" i="9"/>
  <c r="L13" i="9"/>
  <c r="M9" i="9"/>
  <c r="M13" i="9"/>
  <c r="K9" i="9"/>
  <c r="K13" i="9"/>
  <c r="J7" i="9"/>
  <c r="H8" i="9"/>
  <c r="H12" i="9"/>
  <c r="F8" i="9"/>
  <c r="F12" i="9"/>
  <c r="M8" i="9"/>
  <c r="M12" i="9"/>
  <c r="I8" i="9"/>
  <c r="I12" i="9"/>
  <c r="K8" i="9"/>
  <c r="K12" i="9"/>
  <c r="E8" i="9"/>
  <c r="E12" i="9"/>
  <c r="G8" i="9"/>
  <c r="G12" i="9"/>
  <c r="J8" i="9"/>
  <c r="J12" i="9"/>
  <c r="L8" i="9"/>
  <c r="L12" i="9"/>
  <c r="K7" i="9"/>
  <c r="L7" i="9"/>
  <c r="M7" i="9"/>
  <c r="P31" i="4"/>
  <c r="F31" i="8"/>
  <c r="G28" i="8"/>
  <c r="X19" i="4"/>
  <c r="Q19" i="4"/>
  <c r="O19" i="4"/>
  <c r="R19" i="4"/>
  <c r="U11" i="9"/>
  <c r="U20" i="4"/>
  <c r="U19" i="4"/>
  <c r="T11" i="9"/>
  <c r="T20" i="4"/>
  <c r="T19" i="4"/>
  <c r="S11" i="9"/>
  <c r="S20" i="4"/>
  <c r="S19" i="4"/>
  <c r="W11" i="9"/>
  <c r="W20" i="4"/>
  <c r="W19" i="4"/>
  <c r="V11" i="9"/>
  <c r="V20" i="4"/>
  <c r="V19" i="4"/>
  <c r="X14" i="9"/>
  <c r="X20" i="4"/>
  <c r="R11" i="9"/>
  <c r="R20" i="4"/>
  <c r="G7" i="9"/>
  <c r="H7" i="9"/>
  <c r="I7" i="9"/>
  <c r="J11" i="9"/>
  <c r="J20" i="4"/>
  <c r="J19" i="4"/>
  <c r="K11" i="9"/>
  <c r="K20" i="4"/>
  <c r="K19" i="4"/>
  <c r="L11" i="9"/>
  <c r="L19" i="4"/>
  <c r="Q11" i="9"/>
  <c r="Q20" i="4"/>
  <c r="M11" i="9"/>
  <c r="M20" i="4"/>
  <c r="M19" i="4"/>
  <c r="D7" i="9"/>
  <c r="C35" i="13"/>
  <c r="D8" i="4"/>
  <c r="E7" i="9"/>
  <c r="O11" i="9"/>
  <c r="O20" i="4"/>
  <c r="F7" i="9"/>
  <c r="D37" i="4"/>
  <c r="D34" i="4"/>
  <c r="Q11" i="4"/>
  <c r="Q12" i="4"/>
  <c r="Q31" i="4"/>
  <c r="G31" i="8"/>
  <c r="H28" i="8"/>
  <c r="Q21" i="4"/>
  <c r="O21" i="4"/>
  <c r="R21" i="4"/>
  <c r="R11" i="4"/>
  <c r="R12" i="4"/>
  <c r="X21" i="4"/>
  <c r="X11" i="4"/>
  <c r="X12" i="4"/>
  <c r="W21" i="4"/>
  <c r="T21" i="4"/>
  <c r="U21" i="4"/>
  <c r="V21" i="4"/>
  <c r="S21" i="4"/>
  <c r="S11" i="4"/>
  <c r="S12" i="4"/>
  <c r="D35" i="13"/>
  <c r="J21" i="4"/>
  <c r="J23" i="4"/>
  <c r="J24" i="4"/>
  <c r="M21" i="4"/>
  <c r="M23" i="4"/>
  <c r="M24" i="4"/>
  <c r="L21" i="4"/>
  <c r="L23" i="4"/>
  <c r="L24" i="4"/>
  <c r="K21" i="4"/>
  <c r="K23" i="4"/>
  <c r="K24" i="4"/>
  <c r="H11" i="9"/>
  <c r="H20" i="4"/>
  <c r="H19" i="4"/>
  <c r="M22" i="4"/>
  <c r="L22" i="4"/>
  <c r="K22" i="4"/>
  <c r="D11" i="9"/>
  <c r="D20" i="4"/>
  <c r="D19" i="4"/>
  <c r="F11" i="9"/>
  <c r="F20" i="4"/>
  <c r="F19" i="4"/>
  <c r="E11" i="9"/>
  <c r="E20" i="4"/>
  <c r="E19" i="4"/>
  <c r="I11" i="9"/>
  <c r="I20" i="4"/>
  <c r="I19" i="4"/>
  <c r="J22" i="4"/>
  <c r="G11" i="9"/>
  <c r="G20" i="4"/>
  <c r="G19" i="4"/>
  <c r="R31" i="4"/>
  <c r="H31" i="8"/>
  <c r="I28" i="8"/>
  <c r="E8" i="4"/>
  <c r="E35" i="13"/>
  <c r="K27" i="4"/>
  <c r="K29" i="4"/>
  <c r="J27" i="4"/>
  <c r="J29" i="4"/>
  <c r="M27" i="4"/>
  <c r="M29" i="4"/>
  <c r="L27" i="4"/>
  <c r="L29" i="4"/>
  <c r="I22" i="4"/>
  <c r="I23" i="4"/>
  <c r="I24" i="4"/>
  <c r="F22" i="4"/>
  <c r="F23" i="4"/>
  <c r="F24" i="4"/>
  <c r="H22" i="4"/>
  <c r="H23" i="4"/>
  <c r="H24" i="4"/>
  <c r="G23" i="4"/>
  <c r="G24" i="4"/>
  <c r="G22" i="4"/>
  <c r="E22" i="4"/>
  <c r="E23" i="4"/>
  <c r="E24" i="4"/>
  <c r="D22" i="4"/>
  <c r="D23" i="4"/>
  <c r="D24" i="4"/>
  <c r="E37" i="4"/>
  <c r="E34" i="4"/>
  <c r="J28" i="8"/>
  <c r="I31" i="8"/>
  <c r="F8" i="4"/>
  <c r="F35" i="13"/>
  <c r="K32" i="4"/>
  <c r="K35" i="4"/>
  <c r="L32" i="4"/>
  <c r="L35" i="4"/>
  <c r="M32" i="4"/>
  <c r="M35" i="4"/>
  <c r="J32" i="4"/>
  <c r="J35" i="4"/>
  <c r="G27" i="4"/>
  <c r="G29" i="4"/>
  <c r="E27" i="4"/>
  <c r="E29" i="4"/>
  <c r="D27" i="4"/>
  <c r="D29" i="4"/>
  <c r="H27" i="4"/>
  <c r="H29" i="4"/>
  <c r="F27" i="4"/>
  <c r="F29" i="4"/>
  <c r="I27" i="4"/>
  <c r="I29" i="4"/>
  <c r="F34" i="4"/>
  <c r="F37" i="4"/>
  <c r="S31" i="4"/>
  <c r="K28" i="8"/>
  <c r="T11" i="4"/>
  <c r="T12" i="4"/>
  <c r="J31" i="8"/>
  <c r="G8" i="4"/>
  <c r="G35" i="13"/>
  <c r="D32" i="4"/>
  <c r="D35" i="4"/>
  <c r="F32" i="4"/>
  <c r="F35" i="4"/>
  <c r="G32" i="4"/>
  <c r="G35" i="4"/>
  <c r="H32" i="4"/>
  <c r="H35" i="4"/>
  <c r="I32" i="4"/>
  <c r="I35" i="4"/>
  <c r="E32" i="4"/>
  <c r="E35" i="4"/>
  <c r="G34" i="4"/>
  <c r="G37" i="4"/>
  <c r="T31" i="4"/>
  <c r="L28" i="8"/>
  <c r="U11" i="4"/>
  <c r="U12" i="4"/>
  <c r="K31" i="8"/>
  <c r="H8" i="4"/>
  <c r="H35" i="13"/>
  <c r="D33" i="4"/>
  <c r="E33" i="4"/>
  <c r="F33" i="4"/>
  <c r="G33" i="4"/>
  <c r="H33" i="4"/>
  <c r="I33" i="4"/>
  <c r="J33" i="4"/>
  <c r="K33" i="4"/>
  <c r="L33" i="4"/>
  <c r="M33" i="4"/>
  <c r="D36" i="4"/>
  <c r="E36" i="4"/>
  <c r="F36" i="4"/>
  <c r="G36" i="4"/>
  <c r="H36" i="4"/>
  <c r="I36" i="4"/>
  <c r="J36" i="4"/>
  <c r="K36" i="4"/>
  <c r="L36" i="4"/>
  <c r="M36" i="4"/>
  <c r="E33" i="12"/>
  <c r="D37" i="12"/>
  <c r="F28" i="12"/>
  <c r="D12" i="12"/>
  <c r="E14" i="12"/>
  <c r="E15" i="12"/>
  <c r="E16" i="12"/>
  <c r="E17" i="12"/>
  <c r="E18" i="12"/>
  <c r="E44" i="12"/>
  <c r="E45" i="12"/>
  <c r="E46" i="12"/>
  <c r="E47" i="12"/>
  <c r="E48" i="12"/>
  <c r="E49" i="12"/>
  <c r="E50" i="12"/>
  <c r="E51" i="12"/>
  <c r="E52" i="12"/>
  <c r="E19" i="12"/>
  <c r="E20" i="12"/>
  <c r="E21" i="12"/>
  <c r="E22" i="12"/>
  <c r="E23" i="12"/>
  <c r="E24" i="12"/>
  <c r="E25" i="12"/>
  <c r="E26" i="12"/>
  <c r="E27" i="12"/>
  <c r="H37" i="4"/>
  <c r="H34" i="4"/>
  <c r="U31" i="4"/>
  <c r="N28" i="8"/>
  <c r="M28" i="8"/>
  <c r="V11" i="4"/>
  <c r="V12" i="4"/>
  <c r="L31" i="8"/>
  <c r="I8" i="4"/>
  <c r="I35" i="13"/>
  <c r="E12" i="12"/>
  <c r="G12" i="12"/>
  <c r="F53" i="12"/>
  <c r="E8" i="12"/>
  <c r="D14" i="12"/>
  <c r="F14" i="12"/>
  <c r="E13" i="12"/>
  <c r="D38" i="12"/>
  <c r="D13" i="12"/>
  <c r="E39" i="12"/>
  <c r="E43" i="12"/>
  <c r="I37" i="4"/>
  <c r="I34" i="4"/>
  <c r="V31" i="4"/>
  <c r="N31" i="8"/>
  <c r="W11" i="4"/>
  <c r="W12" i="4"/>
  <c r="M31" i="8"/>
  <c r="J8" i="4"/>
  <c r="J35" i="13"/>
  <c r="G13" i="12"/>
  <c r="F12" i="12"/>
  <c r="F11" i="12"/>
  <c r="G11" i="12"/>
  <c r="H11" i="12"/>
  <c r="I11" i="12"/>
  <c r="J11" i="12"/>
  <c r="K11" i="12"/>
  <c r="L11" i="12"/>
  <c r="M11" i="12"/>
  <c r="N11" i="12"/>
  <c r="O11" i="12"/>
  <c r="P11" i="12"/>
  <c r="Q11" i="12"/>
  <c r="R11" i="12"/>
  <c r="S11" i="12"/>
  <c r="T11" i="12"/>
  <c r="U11" i="12"/>
  <c r="G14" i="12"/>
  <c r="I13" i="12"/>
  <c r="H12" i="12"/>
  <c r="H14" i="12"/>
  <c r="D39" i="12"/>
  <c r="H39" i="12"/>
  <c r="F13" i="12"/>
  <c r="H13" i="12"/>
  <c r="F38" i="12"/>
  <c r="E38" i="12"/>
  <c r="E41" i="12"/>
  <c r="E42" i="12"/>
  <c r="F36" i="12"/>
  <c r="E40" i="12"/>
  <c r="J37" i="4"/>
  <c r="J34" i="4"/>
  <c r="W31" i="4"/>
  <c r="O37" i="12"/>
  <c r="O38" i="12"/>
  <c r="O39" i="12"/>
  <c r="D40" i="12"/>
  <c r="O40" i="12"/>
  <c r="D41" i="12"/>
  <c r="O41" i="12"/>
  <c r="D42" i="12"/>
  <c r="O42" i="12"/>
  <c r="D43" i="12"/>
  <c r="O43" i="12"/>
  <c r="D44" i="12"/>
  <c r="O44" i="12"/>
  <c r="D45" i="12"/>
  <c r="O45" i="12"/>
  <c r="D46" i="12"/>
  <c r="O46" i="12"/>
  <c r="D47" i="12"/>
  <c r="O47" i="12"/>
  <c r="D48" i="12"/>
  <c r="O48" i="12"/>
  <c r="D49" i="12"/>
  <c r="O49" i="12"/>
  <c r="D50" i="12"/>
  <c r="O50" i="12"/>
  <c r="D51" i="12"/>
  <c r="O51" i="12"/>
  <c r="D52" i="12"/>
  <c r="O52" i="12"/>
  <c r="O55" i="12"/>
  <c r="O12" i="12"/>
  <c r="O13" i="12"/>
  <c r="O14" i="12"/>
  <c r="D15" i="12"/>
  <c r="O15" i="12"/>
  <c r="D16" i="12"/>
  <c r="O16" i="12"/>
  <c r="D17" i="12"/>
  <c r="O17" i="12"/>
  <c r="D18" i="12"/>
  <c r="O18" i="12"/>
  <c r="D19" i="12"/>
  <c r="O19" i="12"/>
  <c r="D20" i="12"/>
  <c r="O20" i="12"/>
  <c r="D21" i="12"/>
  <c r="O21" i="12"/>
  <c r="D22" i="12"/>
  <c r="O22" i="12"/>
  <c r="Q9" i="12"/>
  <c r="D23" i="12"/>
  <c r="O23" i="12"/>
  <c r="R9" i="12"/>
  <c r="D24" i="12"/>
  <c r="O24" i="12"/>
  <c r="S9" i="12"/>
  <c r="D25" i="12"/>
  <c r="O25" i="12"/>
  <c r="T9" i="12"/>
  <c r="D26" i="12"/>
  <c r="O26" i="12"/>
  <c r="U9" i="12"/>
  <c r="D27" i="12"/>
  <c r="O27" i="12"/>
  <c r="O30" i="12"/>
  <c r="O61" i="12"/>
  <c r="W26" i="4"/>
  <c r="X31" i="4"/>
  <c r="K8" i="4"/>
  <c r="K35" i="13"/>
  <c r="E37" i="12"/>
  <c r="G37" i="12"/>
  <c r="G36" i="12"/>
  <c r="H36" i="12"/>
  <c r="I36" i="12"/>
  <c r="J36" i="12"/>
  <c r="K36" i="12"/>
  <c r="L36" i="12"/>
  <c r="M36" i="12"/>
  <c r="N36" i="12"/>
  <c r="O36" i="12"/>
  <c r="P36" i="12"/>
  <c r="I12" i="12"/>
  <c r="H15" i="12"/>
  <c r="I14" i="12"/>
  <c r="I40" i="12"/>
  <c r="F39" i="12"/>
  <c r="G39" i="12"/>
  <c r="G38" i="12"/>
  <c r="H38" i="12"/>
  <c r="K34" i="4"/>
  <c r="K37" i="4"/>
  <c r="L35" i="13"/>
  <c r="L8" i="4"/>
  <c r="F37" i="12"/>
  <c r="H37" i="12"/>
  <c r="H16" i="12"/>
  <c r="J13" i="12"/>
  <c r="I38" i="12"/>
  <c r="J37" i="12"/>
  <c r="J14" i="12"/>
  <c r="J15" i="12"/>
  <c r="J12" i="12"/>
  <c r="G15" i="12"/>
  <c r="I15" i="12"/>
  <c r="F15" i="12"/>
  <c r="I37" i="12"/>
  <c r="I39" i="12"/>
  <c r="F16" i="12"/>
  <c r="K17" i="12"/>
  <c r="K12" i="12"/>
  <c r="K13" i="12"/>
  <c r="K14" i="12"/>
  <c r="K15" i="12"/>
  <c r="F40" i="12"/>
  <c r="G40" i="12"/>
  <c r="H40" i="12"/>
  <c r="J39" i="12"/>
  <c r="L34" i="4"/>
  <c r="L37" i="4"/>
  <c r="M35" i="13"/>
  <c r="M8" i="4"/>
  <c r="G16" i="12"/>
  <c r="J16" i="12"/>
  <c r="K16" i="12"/>
  <c r="I16" i="12"/>
  <c r="J38" i="12"/>
  <c r="J40" i="12"/>
  <c r="L12" i="12"/>
  <c r="L16" i="12"/>
  <c r="L15" i="12"/>
  <c r="L14" i="12"/>
  <c r="L13" i="12"/>
  <c r="L17" i="12"/>
  <c r="K37" i="12"/>
  <c r="K39" i="12"/>
  <c r="K38" i="12"/>
  <c r="K40" i="12"/>
  <c r="F17" i="12"/>
  <c r="G17" i="12"/>
  <c r="H17" i="12"/>
  <c r="I17" i="12"/>
  <c r="J17" i="12"/>
  <c r="M37" i="4"/>
  <c r="M34" i="4"/>
  <c r="N35" i="13"/>
  <c r="N8" i="4"/>
  <c r="K41" i="12"/>
  <c r="I41" i="12"/>
  <c r="F41" i="12"/>
  <c r="H41" i="12"/>
  <c r="G41" i="12"/>
  <c r="J41" i="12"/>
  <c r="F42" i="12"/>
  <c r="G42" i="12"/>
  <c r="H42" i="12"/>
  <c r="I42" i="12"/>
  <c r="J42" i="12"/>
  <c r="M19" i="12"/>
  <c r="M15" i="12"/>
  <c r="M17" i="12"/>
  <c r="M18" i="12"/>
  <c r="M16" i="12"/>
  <c r="M14" i="12"/>
  <c r="M12" i="12"/>
  <c r="M13" i="12"/>
  <c r="F18" i="12"/>
  <c r="G18" i="12"/>
  <c r="H18" i="12"/>
  <c r="I18" i="12"/>
  <c r="J18" i="12"/>
  <c r="K18" i="12"/>
  <c r="K42" i="12"/>
  <c r="L43" i="12"/>
  <c r="L38" i="12"/>
  <c r="L37" i="12"/>
  <c r="L39" i="12"/>
  <c r="L41" i="12"/>
  <c r="L40" i="12"/>
  <c r="L42" i="12"/>
  <c r="L18" i="12"/>
  <c r="D38" i="15"/>
  <c r="D22" i="15"/>
  <c r="D40" i="15"/>
  <c r="D41" i="15"/>
  <c r="O8" i="4"/>
  <c r="O35" i="13"/>
  <c r="N17" i="12"/>
  <c r="N19" i="12"/>
  <c r="N12" i="12"/>
  <c r="N18" i="12"/>
  <c r="N15" i="12"/>
  <c r="N13" i="12"/>
  <c r="N16" i="12"/>
  <c r="N14" i="12"/>
  <c r="M44" i="12"/>
  <c r="M37" i="12"/>
  <c r="M39" i="12"/>
  <c r="M38" i="12"/>
  <c r="M43" i="12"/>
  <c r="M40" i="12"/>
  <c r="M41" i="12"/>
  <c r="M42" i="12"/>
  <c r="G19" i="12"/>
  <c r="F19" i="12"/>
  <c r="H19" i="12"/>
  <c r="I19" i="12"/>
  <c r="J19" i="12"/>
  <c r="K19" i="12"/>
  <c r="L19" i="12"/>
  <c r="F43" i="12"/>
  <c r="G43" i="12"/>
  <c r="H43" i="12"/>
  <c r="I43" i="12"/>
  <c r="J43" i="12"/>
  <c r="K43" i="12"/>
  <c r="P35" i="13"/>
  <c r="P8" i="4"/>
  <c r="F44" i="12"/>
  <c r="G44" i="12"/>
  <c r="H44" i="12"/>
  <c r="I44" i="12"/>
  <c r="J44" i="12"/>
  <c r="K44" i="12"/>
  <c r="L44" i="12"/>
  <c r="N38" i="12"/>
  <c r="N37" i="12"/>
  <c r="N44" i="12"/>
  <c r="N45" i="12"/>
  <c r="N40" i="12"/>
  <c r="N39" i="12"/>
  <c r="N43" i="12"/>
  <c r="N42" i="12"/>
  <c r="N41" i="12"/>
  <c r="F20" i="12"/>
  <c r="G20" i="12"/>
  <c r="H20" i="12"/>
  <c r="I20" i="12"/>
  <c r="J20" i="12"/>
  <c r="K20" i="12"/>
  <c r="L20" i="12"/>
  <c r="M20" i="12"/>
  <c r="N20" i="12"/>
  <c r="Q35" i="13"/>
  <c r="Q8" i="4"/>
  <c r="P14" i="12"/>
  <c r="P21" i="12"/>
  <c r="P15" i="12"/>
  <c r="P17" i="12"/>
  <c r="P18" i="12"/>
  <c r="P16" i="12"/>
  <c r="P13" i="12"/>
  <c r="P12" i="12"/>
  <c r="P20" i="12"/>
  <c r="P22" i="12"/>
  <c r="P19" i="12"/>
  <c r="F21" i="12"/>
  <c r="G21" i="12"/>
  <c r="H21" i="12"/>
  <c r="I21" i="12"/>
  <c r="J21" i="12"/>
  <c r="K21" i="12"/>
  <c r="L21" i="12"/>
  <c r="M21" i="12"/>
  <c r="N21" i="12"/>
  <c r="F45" i="12"/>
  <c r="G45" i="12"/>
  <c r="H45" i="12"/>
  <c r="I45" i="12"/>
  <c r="J45" i="12"/>
  <c r="K45" i="12"/>
  <c r="L45" i="12"/>
  <c r="M45" i="12"/>
  <c r="R35" i="13"/>
  <c r="R8" i="4"/>
  <c r="Q15" i="12"/>
  <c r="Q18" i="12"/>
  <c r="Q12" i="12"/>
  <c r="Q22" i="12"/>
  <c r="Q21" i="12"/>
  <c r="Q20" i="12"/>
  <c r="Q13" i="12"/>
  <c r="Q17" i="12"/>
  <c r="Q16" i="12"/>
  <c r="Q19" i="12"/>
  <c r="Q14" i="12"/>
  <c r="F22" i="12"/>
  <c r="G22" i="12"/>
  <c r="H22" i="12"/>
  <c r="I22" i="12"/>
  <c r="J22" i="12"/>
  <c r="K22" i="12"/>
  <c r="L22" i="12"/>
  <c r="M22" i="12"/>
  <c r="N22" i="12"/>
  <c r="F46" i="12"/>
  <c r="G46" i="12"/>
  <c r="H46" i="12"/>
  <c r="I46" i="12"/>
  <c r="J46" i="12"/>
  <c r="K46" i="12"/>
  <c r="L46" i="12"/>
  <c r="M46" i="12"/>
  <c r="N46" i="12"/>
  <c r="P47" i="12"/>
  <c r="P39" i="12"/>
  <c r="P42" i="12"/>
  <c r="P46" i="12"/>
  <c r="P38" i="12"/>
  <c r="P44" i="12"/>
  <c r="P45" i="12"/>
  <c r="P41" i="12"/>
  <c r="P37" i="12"/>
  <c r="P40" i="12"/>
  <c r="P43" i="12"/>
  <c r="S35" i="13"/>
  <c r="S8" i="4"/>
  <c r="R21" i="12"/>
  <c r="R23" i="12"/>
  <c r="R14" i="12"/>
  <c r="R16" i="12"/>
  <c r="R22" i="12"/>
  <c r="R17" i="12"/>
  <c r="R15" i="12"/>
  <c r="R19" i="12"/>
  <c r="R18" i="12"/>
  <c r="R12" i="12"/>
  <c r="R20" i="12"/>
  <c r="R13" i="12"/>
  <c r="F23" i="12"/>
  <c r="G23" i="12"/>
  <c r="H23" i="12"/>
  <c r="I23" i="12"/>
  <c r="J23" i="12"/>
  <c r="K23" i="12"/>
  <c r="L23" i="12"/>
  <c r="M23" i="12"/>
  <c r="N23" i="12"/>
  <c r="P23" i="12"/>
  <c r="Q23" i="12"/>
  <c r="F47" i="12"/>
  <c r="G47" i="12"/>
  <c r="H47" i="12"/>
  <c r="I47" i="12"/>
  <c r="J47" i="12"/>
  <c r="K47" i="12"/>
  <c r="L47" i="12"/>
  <c r="M47" i="12"/>
  <c r="N47" i="12"/>
  <c r="Q48" i="12"/>
  <c r="Q39" i="12"/>
  <c r="Q40" i="12"/>
  <c r="Q44" i="12"/>
  <c r="Q37" i="12"/>
  <c r="Q38" i="12"/>
  <c r="Q42" i="12"/>
  <c r="Q45" i="12"/>
  <c r="Q41" i="12"/>
  <c r="Q43" i="12"/>
  <c r="Q46" i="12"/>
  <c r="Q47" i="12"/>
  <c r="T35" i="13"/>
  <c r="T8" i="4"/>
  <c r="F48" i="12"/>
  <c r="G48" i="12"/>
  <c r="H48" i="12"/>
  <c r="I48" i="12"/>
  <c r="J48" i="12"/>
  <c r="K48" i="12"/>
  <c r="L48" i="12"/>
  <c r="M48" i="12"/>
  <c r="N48" i="12"/>
  <c r="P48" i="12"/>
  <c r="G24" i="12"/>
  <c r="F24" i="12"/>
  <c r="H24" i="12"/>
  <c r="I24" i="12"/>
  <c r="J24" i="12"/>
  <c r="K24" i="12"/>
  <c r="L24" i="12"/>
  <c r="M24" i="12"/>
  <c r="N24" i="12"/>
  <c r="P24" i="12"/>
  <c r="Q24" i="12"/>
  <c r="R24" i="12"/>
  <c r="S25" i="12"/>
  <c r="S18" i="12"/>
  <c r="S24" i="12"/>
  <c r="S23" i="12"/>
  <c r="S14" i="12"/>
  <c r="S12" i="12"/>
  <c r="S19" i="12"/>
  <c r="S17" i="12"/>
  <c r="S20" i="12"/>
  <c r="S15" i="12"/>
  <c r="S21" i="12"/>
  <c r="S16" i="12"/>
  <c r="S13" i="12"/>
  <c r="S22" i="12"/>
  <c r="R49" i="12"/>
  <c r="R39" i="12"/>
  <c r="R40" i="12"/>
  <c r="R46" i="12"/>
  <c r="R43" i="12"/>
  <c r="R45" i="12"/>
  <c r="R47" i="12"/>
  <c r="R48" i="12"/>
  <c r="R37" i="12"/>
  <c r="R44" i="12"/>
  <c r="R42" i="12"/>
  <c r="R38" i="12"/>
  <c r="R41" i="12"/>
  <c r="U35" i="13"/>
  <c r="U8" i="4"/>
  <c r="T15" i="12"/>
  <c r="T18" i="12"/>
  <c r="T21" i="12"/>
  <c r="T20" i="12"/>
  <c r="T22" i="12"/>
  <c r="T17" i="12"/>
  <c r="T23" i="12"/>
  <c r="T25" i="12"/>
  <c r="T12" i="12"/>
  <c r="T19" i="12"/>
  <c r="T16" i="12"/>
  <c r="T14" i="12"/>
  <c r="T13" i="12"/>
  <c r="T24" i="12"/>
  <c r="S50" i="12"/>
  <c r="S41" i="12"/>
  <c r="S46" i="12"/>
  <c r="S48" i="12"/>
  <c r="S38" i="12"/>
  <c r="S42" i="12"/>
  <c r="S45" i="12"/>
  <c r="S39" i="12"/>
  <c r="S40" i="12"/>
  <c r="S43" i="12"/>
  <c r="S37" i="12"/>
  <c r="S49" i="12"/>
  <c r="S44" i="12"/>
  <c r="S47" i="12"/>
  <c r="F25" i="12"/>
  <c r="H25" i="12"/>
  <c r="G25" i="12"/>
  <c r="I25" i="12"/>
  <c r="J25" i="12"/>
  <c r="K25" i="12"/>
  <c r="L25" i="12"/>
  <c r="M25" i="12"/>
  <c r="N25" i="12"/>
  <c r="P25" i="12"/>
  <c r="Q25" i="12"/>
  <c r="R25" i="12"/>
  <c r="F49" i="12"/>
  <c r="G49" i="12"/>
  <c r="H49" i="12"/>
  <c r="I49" i="12"/>
  <c r="J49" i="12"/>
  <c r="K49" i="12"/>
  <c r="L49" i="12"/>
  <c r="M49" i="12"/>
  <c r="N49" i="12"/>
  <c r="P49" i="12"/>
  <c r="Q49" i="12"/>
  <c r="Q36" i="12"/>
  <c r="V35" i="13"/>
  <c r="V8" i="4"/>
  <c r="U23" i="12"/>
  <c r="U26" i="12"/>
  <c r="U13" i="12"/>
  <c r="U27" i="12"/>
  <c r="U20" i="12"/>
  <c r="U14" i="12"/>
  <c r="U21" i="12"/>
  <c r="U19" i="12"/>
  <c r="U17" i="12"/>
  <c r="U12" i="12"/>
  <c r="U24" i="12"/>
  <c r="U16" i="12"/>
  <c r="U18" i="12"/>
  <c r="U15" i="12"/>
  <c r="U25" i="12"/>
  <c r="U22" i="12"/>
  <c r="F26" i="12"/>
  <c r="G26" i="12"/>
  <c r="H26" i="12"/>
  <c r="I26" i="12"/>
  <c r="J26" i="12"/>
  <c r="K26" i="12"/>
  <c r="L26" i="12"/>
  <c r="M26" i="12"/>
  <c r="N26" i="12"/>
  <c r="P26" i="12"/>
  <c r="Q26" i="12"/>
  <c r="R26" i="12"/>
  <c r="S26" i="12"/>
  <c r="T26" i="12"/>
  <c r="F50" i="12"/>
  <c r="G50" i="12"/>
  <c r="H50" i="12"/>
  <c r="I50" i="12"/>
  <c r="J50" i="12"/>
  <c r="K50" i="12"/>
  <c r="L50" i="12"/>
  <c r="M50" i="12"/>
  <c r="N50" i="12"/>
  <c r="P50" i="12"/>
  <c r="Q50" i="12"/>
  <c r="R50" i="12"/>
  <c r="T51" i="12"/>
  <c r="T41" i="12"/>
  <c r="T50" i="12"/>
  <c r="T45" i="12"/>
  <c r="T42" i="12"/>
  <c r="T49" i="12"/>
  <c r="T44" i="12"/>
  <c r="T38" i="12"/>
  <c r="T47" i="12"/>
  <c r="T43" i="12"/>
  <c r="T39" i="12"/>
  <c r="T40" i="12"/>
  <c r="T37" i="12"/>
  <c r="T46" i="12"/>
  <c r="T48" i="12"/>
  <c r="R36" i="12"/>
  <c r="W35" i="13"/>
  <c r="X8" i="4"/>
  <c r="W8" i="4"/>
  <c r="U30" i="12"/>
  <c r="F51" i="12"/>
  <c r="G51" i="12"/>
  <c r="H51" i="12"/>
  <c r="I51" i="12"/>
  <c r="J51" i="12"/>
  <c r="K51" i="12"/>
  <c r="L51" i="12"/>
  <c r="M51" i="12"/>
  <c r="N51" i="12"/>
  <c r="P51" i="12"/>
  <c r="Q51" i="12"/>
  <c r="R51" i="12"/>
  <c r="S51" i="12"/>
  <c r="U52" i="12"/>
  <c r="U40" i="12"/>
  <c r="U37" i="12"/>
  <c r="U48" i="12"/>
  <c r="U51" i="12"/>
  <c r="U44" i="12"/>
  <c r="U50" i="12"/>
  <c r="U43" i="12"/>
  <c r="U41" i="12"/>
  <c r="U47" i="12"/>
  <c r="U42" i="12"/>
  <c r="U45" i="12"/>
  <c r="U46" i="12"/>
  <c r="U39" i="12"/>
  <c r="U49" i="12"/>
  <c r="U38" i="12"/>
  <c r="G27" i="12"/>
  <c r="G30" i="12"/>
  <c r="F27" i="12"/>
  <c r="F30" i="12"/>
  <c r="H27" i="12"/>
  <c r="H30" i="12"/>
  <c r="I27" i="12"/>
  <c r="I30" i="12"/>
  <c r="J27" i="12"/>
  <c r="J30" i="12"/>
  <c r="K27" i="12"/>
  <c r="K30" i="12"/>
  <c r="L27" i="12"/>
  <c r="L30" i="12"/>
  <c r="M27" i="12"/>
  <c r="M30" i="12"/>
  <c r="N27" i="12"/>
  <c r="N30" i="12"/>
  <c r="P27" i="12"/>
  <c r="P30" i="12"/>
  <c r="Q27" i="12"/>
  <c r="Q30" i="12"/>
  <c r="R27" i="12"/>
  <c r="R30" i="12"/>
  <c r="S27" i="12"/>
  <c r="S30" i="12"/>
  <c r="T27" i="12"/>
  <c r="T30" i="12"/>
  <c r="S36" i="12"/>
  <c r="G29" i="12"/>
  <c r="G28" i="12"/>
  <c r="F52" i="12"/>
  <c r="F55" i="12"/>
  <c r="F61" i="12"/>
  <c r="N26" i="4"/>
  <c r="G52" i="12"/>
  <c r="G55" i="12"/>
  <c r="G61" i="12"/>
  <c r="O26" i="4"/>
  <c r="H52" i="12"/>
  <c r="H55" i="12"/>
  <c r="H61" i="12"/>
  <c r="P26" i="4"/>
  <c r="I52" i="12"/>
  <c r="I55" i="12"/>
  <c r="I61" i="12"/>
  <c r="Q26" i="4"/>
  <c r="J52" i="12"/>
  <c r="J55" i="12"/>
  <c r="J61" i="12"/>
  <c r="R26" i="4"/>
  <c r="K52" i="12"/>
  <c r="K55" i="12"/>
  <c r="K61" i="12"/>
  <c r="S26" i="4"/>
  <c r="L52" i="12"/>
  <c r="L55" i="12"/>
  <c r="L61" i="12"/>
  <c r="T26" i="4"/>
  <c r="M52" i="12"/>
  <c r="M55" i="12"/>
  <c r="M61" i="12"/>
  <c r="U26" i="4"/>
  <c r="N52" i="12"/>
  <c r="N55" i="12"/>
  <c r="N61" i="12"/>
  <c r="V26" i="4"/>
  <c r="P52" i="12"/>
  <c r="P55" i="12"/>
  <c r="P61" i="12"/>
  <c r="X26" i="4"/>
  <c r="Q52" i="12"/>
  <c r="Q55" i="12"/>
  <c r="R52" i="12"/>
  <c r="R55" i="12"/>
  <c r="S52" i="12"/>
  <c r="S55" i="12"/>
  <c r="S61" i="12"/>
  <c r="T52" i="12"/>
  <c r="T55" i="12"/>
  <c r="T61" i="12"/>
  <c r="U55" i="12"/>
  <c r="U61" i="12"/>
  <c r="T36" i="12"/>
  <c r="D24" i="15"/>
  <c r="D23" i="15"/>
  <c r="G54" i="12"/>
  <c r="H54" i="12"/>
  <c r="H29" i="12"/>
  <c r="H28" i="12"/>
  <c r="R61" i="12"/>
  <c r="Q61" i="12"/>
  <c r="U36" i="12"/>
  <c r="D36" i="15"/>
  <c r="D26" i="15"/>
  <c r="D31" i="15"/>
  <c r="G53" i="12"/>
  <c r="I29" i="12"/>
  <c r="I28" i="12"/>
  <c r="H53" i="12"/>
  <c r="I54" i="12"/>
  <c r="J29" i="12"/>
  <c r="K29" i="12"/>
  <c r="I53" i="12"/>
  <c r="J54" i="12"/>
  <c r="J28" i="12"/>
  <c r="K54" i="12"/>
  <c r="J53" i="12"/>
  <c r="K28" i="12"/>
  <c r="L29" i="12"/>
  <c r="L54" i="12"/>
  <c r="K53" i="12"/>
  <c r="L28" i="12"/>
  <c r="M29" i="12"/>
  <c r="M54" i="12"/>
  <c r="L53" i="12"/>
  <c r="M28" i="12"/>
  <c r="N29" i="12"/>
  <c r="M53" i="12"/>
  <c r="N54" i="12"/>
  <c r="N28" i="12"/>
  <c r="O29" i="12"/>
  <c r="O54" i="12"/>
  <c r="N53" i="12"/>
  <c r="O28" i="12"/>
  <c r="P29" i="12"/>
  <c r="O53" i="12"/>
  <c r="P54" i="12"/>
  <c r="P28" i="12"/>
  <c r="Q29" i="12"/>
  <c r="P53" i="12"/>
  <c r="Q54" i="12"/>
  <c r="Q28" i="12"/>
  <c r="R29" i="12"/>
  <c r="Q53" i="12"/>
  <c r="R54" i="12"/>
  <c r="R28" i="12"/>
  <c r="S29" i="12"/>
  <c r="S54" i="12"/>
  <c r="R53" i="12"/>
  <c r="S28" i="12"/>
  <c r="T29" i="12"/>
  <c r="T54" i="12"/>
  <c r="S53" i="12"/>
  <c r="T28" i="12"/>
  <c r="U29" i="12"/>
  <c r="U28" i="12"/>
  <c r="T53" i="12"/>
  <c r="U54" i="12"/>
  <c r="U53" i="12"/>
  <c r="D29" i="15"/>
  <c r="D28" i="15"/>
  <c r="D35" i="15"/>
  <c r="D30" i="15"/>
  <c r="D34" i="15"/>
  <c r="D33" i="15"/>
  <c r="S22" i="9"/>
  <c r="S16" i="4"/>
  <c r="O22" i="4"/>
  <c r="P21" i="9"/>
  <c r="P15" i="4"/>
  <c r="N23" i="4"/>
  <c r="N24" i="4"/>
  <c r="N22" i="4"/>
  <c r="O23" i="4"/>
  <c r="O24" i="4"/>
  <c r="T22" i="9"/>
  <c r="T16" i="4"/>
  <c r="N25" i="4"/>
  <c r="N27" i="4"/>
  <c r="Q21" i="9"/>
  <c r="Q15" i="4"/>
  <c r="O25" i="4"/>
  <c r="O27" i="4"/>
  <c r="P23" i="4"/>
  <c r="P24" i="4"/>
  <c r="P22" i="4"/>
  <c r="U22" i="9"/>
  <c r="U16" i="4"/>
  <c r="P27" i="4"/>
  <c r="P25" i="4"/>
  <c r="R21" i="9"/>
  <c r="R15" i="4"/>
  <c r="O28" i="4"/>
  <c r="O29" i="4"/>
  <c r="N28" i="4"/>
  <c r="N29" i="4"/>
  <c r="Q23" i="4"/>
  <c r="Q24" i="4"/>
  <c r="Q22" i="4"/>
  <c r="V22" i="9"/>
  <c r="V16" i="4"/>
  <c r="R22" i="4"/>
  <c r="R23" i="4"/>
  <c r="R24" i="4"/>
  <c r="O35" i="4"/>
  <c r="O37" i="4"/>
  <c r="O32" i="4"/>
  <c r="Q25" i="4"/>
  <c r="Q27" i="4"/>
  <c r="P28" i="4"/>
  <c r="P29" i="4"/>
  <c r="N35" i="4"/>
  <c r="N32" i="4"/>
  <c r="S21" i="9"/>
  <c r="S15" i="4"/>
  <c r="W22" i="9"/>
  <c r="W16" i="4"/>
  <c r="X22" i="9"/>
  <c r="X16" i="4"/>
  <c r="T21" i="9"/>
  <c r="T15" i="4"/>
  <c r="N34" i="4"/>
  <c r="N33" i="4"/>
  <c r="Q29" i="4"/>
  <c r="Q28" i="4"/>
  <c r="R25" i="4"/>
  <c r="R27" i="4"/>
  <c r="N36" i="4"/>
  <c r="N37" i="4"/>
  <c r="S23" i="4"/>
  <c r="S24" i="4"/>
  <c r="S22" i="4"/>
  <c r="P32" i="4"/>
  <c r="P35" i="4"/>
  <c r="O34" i="4"/>
  <c r="O33" i="4"/>
  <c r="S25" i="4"/>
  <c r="S27" i="4"/>
  <c r="P37" i="4"/>
  <c r="U21" i="9"/>
  <c r="U15" i="4"/>
  <c r="P33" i="4"/>
  <c r="P34" i="4"/>
  <c r="O36" i="4"/>
  <c r="Q35" i="4"/>
  <c r="Q32" i="4"/>
  <c r="T22" i="4"/>
  <c r="T23" i="4"/>
  <c r="T24" i="4"/>
  <c r="R28" i="4"/>
  <c r="R29" i="4"/>
  <c r="Q37" i="4"/>
  <c r="U22" i="4"/>
  <c r="U23" i="4"/>
  <c r="U24" i="4"/>
  <c r="T27" i="4"/>
  <c r="T25" i="4"/>
  <c r="P36" i="4"/>
  <c r="V21" i="9"/>
  <c r="V15" i="4"/>
  <c r="R32" i="4"/>
  <c r="R35" i="4"/>
  <c r="Q34" i="4"/>
  <c r="Q33" i="4"/>
  <c r="S29" i="4"/>
  <c r="S28" i="4"/>
  <c r="S35" i="4"/>
  <c r="S32" i="4"/>
  <c r="R34" i="4"/>
  <c r="R33" i="4"/>
  <c r="X21" i="9"/>
  <c r="X15" i="4"/>
  <c r="W21" i="9"/>
  <c r="W15" i="4"/>
  <c r="T29" i="4"/>
  <c r="T28" i="4"/>
  <c r="V22" i="4"/>
  <c r="V23" i="4"/>
  <c r="V24" i="4"/>
  <c r="U27" i="4"/>
  <c r="U25" i="4"/>
  <c r="R37" i="4"/>
  <c r="Q36" i="4"/>
  <c r="X22" i="4"/>
  <c r="X23" i="4"/>
  <c r="X24" i="4"/>
  <c r="S37" i="4"/>
  <c r="U29" i="4"/>
  <c r="U28" i="4"/>
  <c r="T32" i="4"/>
  <c r="T35" i="4"/>
  <c r="R36" i="4"/>
  <c r="V25" i="4"/>
  <c r="V27" i="4"/>
  <c r="W23" i="4"/>
  <c r="W24" i="4"/>
  <c r="W22" i="4"/>
  <c r="S34" i="4"/>
  <c r="S33" i="4"/>
  <c r="S36" i="4"/>
  <c r="U32" i="4"/>
  <c r="U35" i="4"/>
  <c r="W27" i="4"/>
  <c r="W25" i="4"/>
  <c r="T37" i="4"/>
  <c r="V28" i="4"/>
  <c r="V29" i="4"/>
  <c r="T34" i="4"/>
  <c r="T33" i="4"/>
  <c r="X25" i="4"/>
  <c r="X27" i="4"/>
  <c r="T36" i="4"/>
  <c r="X28" i="4"/>
  <c r="X29" i="4"/>
  <c r="V35" i="4"/>
  <c r="V32" i="4"/>
  <c r="W28" i="4"/>
  <c r="W29" i="4"/>
  <c r="U37" i="4"/>
  <c r="U34" i="4"/>
  <c r="U33" i="4"/>
  <c r="V33" i="4"/>
  <c r="V34" i="4"/>
  <c r="U36" i="4"/>
  <c r="V37" i="4"/>
  <c r="W32" i="4"/>
  <c r="W35" i="4"/>
  <c r="X32" i="4"/>
  <c r="X35" i="4"/>
  <c r="X37" i="4"/>
  <c r="S73" i="4"/>
  <c r="S72" i="4"/>
  <c r="S47" i="4"/>
  <c r="S48" i="4"/>
  <c r="W34" i="4"/>
  <c r="W33" i="4"/>
  <c r="X33" i="4"/>
  <c r="X34" i="4"/>
  <c r="V36" i="4"/>
  <c r="W37" i="4"/>
  <c r="S46" i="4"/>
  <c r="W36" i="4"/>
  <c r="S71" i="4"/>
  <c r="X36" i="4"/>
</calcChain>
</file>

<file path=xl/comments1.xml><?xml version="1.0" encoding="utf-8"?>
<comments xmlns="http://schemas.openxmlformats.org/spreadsheetml/2006/main">
  <authors>
    <author>Christophe Christiaen</author>
  </authors>
  <commentList>
    <comment ref="C19" authorId="0">
      <text>
        <r>
          <rPr>
            <sz val="9"/>
            <color indexed="81"/>
            <rFont val="Tahoma"/>
            <family val="2"/>
          </rPr>
          <t>To include all one off charges (such as installation fees) in case no recurring revenues (such as service charges) are generated after the sale of the product</t>
        </r>
      </text>
    </comment>
    <comment ref="D19" authorId="0">
      <text>
        <r>
          <rPr>
            <sz val="9"/>
            <color indexed="81"/>
            <rFont val="Tahoma"/>
            <family val="2"/>
          </rPr>
          <t>For any services provided with a recurring service fee, that require an initial installation charge</t>
        </r>
      </text>
    </comment>
    <comment ref="B24" authorId="0">
      <text>
        <r>
          <rPr>
            <sz val="9"/>
            <color indexed="81"/>
            <rFont val="Tahoma"/>
            <family val="2"/>
          </rPr>
          <t>Only applies for services with a recurring service fee that requires an initial installation charge</t>
        </r>
      </text>
    </comment>
  </commentList>
</comments>
</file>

<file path=xl/sharedStrings.xml><?xml version="1.0" encoding="utf-8"?>
<sst xmlns="http://schemas.openxmlformats.org/spreadsheetml/2006/main" count="290" uniqueCount="235">
  <si>
    <t>EBITDA</t>
  </si>
  <si>
    <t>plus Depreciation</t>
  </si>
  <si>
    <t>Depreciation</t>
  </si>
  <si>
    <t>EBITDA Margin</t>
  </si>
  <si>
    <t>EBIT  Margin</t>
  </si>
  <si>
    <t>PROFIT &amp; LOSS</t>
  </si>
  <si>
    <t>less total CAPEX</t>
  </si>
  <si>
    <t xml:space="preserve">     There is no implied or explicit guarantee that this workbook generates</t>
  </si>
  <si>
    <t>Disclaimer:</t>
  </si>
  <si>
    <t>Financial Forecast Workbook</t>
  </si>
  <si>
    <t>Total</t>
  </si>
  <si>
    <t>Cost of Sales</t>
  </si>
  <si>
    <t>Marketing</t>
  </si>
  <si>
    <t>Lifetime</t>
  </si>
  <si>
    <t>PRELIMINARY SIMPLIFIED CASH FLOW</t>
  </si>
  <si>
    <t>Total Expenses</t>
  </si>
  <si>
    <t>Revenues</t>
  </si>
  <si>
    <t>Cumulative Depreciation</t>
  </si>
  <si>
    <t>Depr. Rate</t>
  </si>
  <si>
    <t>TOTAL DEPRECIATION</t>
  </si>
  <si>
    <t xml:space="preserve">less change in working capital </t>
  </si>
  <si>
    <t>Depreciation Calculation</t>
  </si>
  <si>
    <t xml:space="preserve">If the resulting forecast does not seem reasonable, then you should adjust either your assumptions about </t>
  </si>
  <si>
    <t xml:space="preserve">revenues, your assumptions about costs or both. </t>
  </si>
  <si>
    <t>The Discounted Cash Flow  (DCF) method is used to evaluate the project.</t>
  </si>
  <si>
    <t xml:space="preserve">directly.  Rather, it requires you to enter the underlying operational parameters like number of customers </t>
  </si>
  <si>
    <t>Investment N.1</t>
  </si>
  <si>
    <t>Investment N.2</t>
  </si>
  <si>
    <t>Investment N.3</t>
  </si>
  <si>
    <t xml:space="preserve">Straight line depreciation is calculated using the "Lifetime" defined in the "III-Costs" worksheet. </t>
  </si>
  <si>
    <t>Book Value (at End of the Year)</t>
  </si>
  <si>
    <t>Cumulative CAPEX (at Start of the Year)</t>
  </si>
  <si>
    <t xml:space="preserve">This workbook is designed to help you develop a financial forecast </t>
  </si>
  <si>
    <t>Unlike most standard financial modelling tools,  this workbook does not allow you to enter financial information</t>
  </si>
  <si>
    <t>I.</t>
  </si>
  <si>
    <t>This workbook consists of four stages to develop a financial forecast for a new system/service.</t>
  </si>
  <si>
    <t>IV.</t>
  </si>
  <si>
    <t>Each stage is shown below and is provided in a separate worksheet in this workbook.</t>
  </si>
  <si>
    <t xml:space="preserve">     The user takes full responsibility for the use of this workbook.  </t>
  </si>
  <si>
    <t xml:space="preserve">     results to accurately reflect the viability of the proposed project.</t>
  </si>
  <si>
    <t>Stage II -- Estimate Annual Revenue/Turnover</t>
  </si>
  <si>
    <t>Stage III -- Estimate Annual Costs</t>
  </si>
  <si>
    <t>Stage IV -- Review Resulting Profit &amp; Loss and Cash Flow</t>
  </si>
  <si>
    <t>Stage IV - Profit &amp; Loss and Cash Flow Statement Calculation</t>
  </si>
  <si>
    <t>Overview - Using the Workbook to Produce a Financial Forecast</t>
  </si>
  <si>
    <t>Cost of Capital (WACC)</t>
  </si>
  <si>
    <t>for a new product</t>
  </si>
  <si>
    <t>secured each year, unit prices, service fees and installation charges and it then calculates the resulting financial values.</t>
  </si>
  <si>
    <t>Product</t>
  </si>
  <si>
    <t>Investment N.4</t>
  </si>
  <si>
    <t>In this worksheet the Profit and Loss (P&amp;L) statement and a simplified version of the cash flow statement are presented. No input from your side is required except for the Cost of Capital (WACC).</t>
  </si>
  <si>
    <t>Estimated Cost of Sales</t>
  </si>
  <si>
    <t>OPEX</t>
  </si>
  <si>
    <t>Other Facilities Cost N.1</t>
  </si>
  <si>
    <t>Other Facilities Cost N.2</t>
  </si>
  <si>
    <t>Other Facilities Cost N.3</t>
  </si>
  <si>
    <t>CAPEX</t>
  </si>
  <si>
    <t>Stage I -- Input Data</t>
  </si>
  <si>
    <t>Fill in all the requested fields</t>
  </si>
  <si>
    <t>Customer Segment 1 (CS1)</t>
  </si>
  <si>
    <t>Customer Segment 2 (CS2)</t>
  </si>
  <si>
    <t>Customer Segment 3 (CS3)</t>
  </si>
  <si>
    <t>Revenue Stream</t>
  </si>
  <si>
    <t>Customer Segments</t>
  </si>
  <si>
    <t>Costs of Sale</t>
  </si>
  <si>
    <t>Commercial Exploitation Phase</t>
  </si>
  <si>
    <t>Estimated OPEX</t>
  </si>
  <si>
    <t>Estimated CAPEX</t>
  </si>
  <si>
    <t>Product unit price</t>
  </si>
  <si>
    <t>Product installation charge per unit</t>
  </si>
  <si>
    <t>Service fee per product per year</t>
  </si>
  <si>
    <t>Sales Volume</t>
  </si>
  <si>
    <t>Product Sales Revenue</t>
  </si>
  <si>
    <t>Product Installation Revenue</t>
  </si>
  <si>
    <t>Product Service Fee Revenue</t>
  </si>
  <si>
    <t>Sat Capacity</t>
  </si>
  <si>
    <t>O.</t>
  </si>
  <si>
    <t>Input Data</t>
  </si>
  <si>
    <t>The following tables corresponds to the different tables displayed in the Outline Proposal Template of ARTES C&amp;G</t>
  </si>
  <si>
    <t>Revenue Streams</t>
  </si>
  <si>
    <t>[Note: The table provides 3 different ways of generating revenues from up to 3 different Customer Segments: by selling the product per unit, and/or by charging the installation of each product, and/or by a yearly service fee per product. Figures can be adjusted; if a specific entry is not applicable, put it to 0]</t>
  </si>
  <si>
    <t>In the commercial exploitation stage , our product will be sold to our customer segments as described in the table below.</t>
  </si>
  <si>
    <t>Cost Structures</t>
  </si>
  <si>
    <t>The key elements of cost for realising the value proposition are presented in the following tables.</t>
  </si>
  <si>
    <t>In case you have detailed cost of sales, fill in the remaining rows and set zero in the top row]</t>
  </si>
  <si>
    <t xml:space="preserve">[Note: In case you do not have detailed cost of sales figure, provide the estimate of the cost of sale per product in the top row. </t>
  </si>
  <si>
    <t>Financial Indicators</t>
  </si>
  <si>
    <t>Phase</t>
  </si>
  <si>
    <t>Start</t>
  </si>
  <si>
    <t>Conclusion</t>
  </si>
  <si>
    <t>Definition</t>
  </si>
  <si>
    <t>Technology</t>
  </si>
  <si>
    <t>Demonstration</t>
  </si>
  <si>
    <t>Commercial</t>
  </si>
  <si>
    <t>Planning and Costing Summary</t>
  </si>
  <si>
    <t>Cost kEUR</t>
  </si>
  <si>
    <t>ESA Funding</t>
  </si>
  <si>
    <t>% of Costs</t>
  </si>
  <si>
    <t>Max 20 years span (-10 to +10 years wrt commercial launch)</t>
  </si>
  <si>
    <t>Duration</t>
  </si>
  <si>
    <t>years</t>
  </si>
  <si>
    <t>year beginning</t>
  </si>
  <si>
    <t>year end</t>
  </si>
  <si>
    <t>J</t>
  </si>
  <si>
    <t>Year -&gt;</t>
  </si>
  <si>
    <t>Development Phase(s)</t>
  </si>
  <si>
    <t>Simplified CoS for product unit</t>
  </si>
  <si>
    <t>Cost Element N.1</t>
  </si>
  <si>
    <t>Cost Element N.2</t>
  </si>
  <si>
    <t>Cost Element N.3</t>
  </si>
  <si>
    <t>Cost Element N.4</t>
  </si>
  <si>
    <t>Marketing staff</t>
  </si>
  <si>
    <t>Sales staff</t>
  </si>
  <si>
    <t>Admin staff</t>
  </si>
  <si>
    <t>Sat Capacity - Units</t>
  </si>
  <si>
    <t>Sat Capacity - Costs per unit</t>
  </si>
  <si>
    <t>Lifetime Inv. Above (years)</t>
  </si>
  <si>
    <t>Total Revenues</t>
  </si>
  <si>
    <t>TOTAL</t>
  </si>
  <si>
    <t>Cost of Develoment Phases</t>
  </si>
  <si>
    <t>ESA Financial support</t>
  </si>
  <si>
    <t>Sales</t>
  </si>
  <si>
    <t>Admin</t>
  </si>
  <si>
    <t>Simplified Cost of Sales</t>
  </si>
  <si>
    <t>Facilities</t>
  </si>
  <si>
    <t>Expenses OPEX</t>
  </si>
  <si>
    <t>Cost of Development Phases</t>
  </si>
  <si>
    <t>R&amp;D (net)</t>
  </si>
  <si>
    <t>Expenses R&amp;D</t>
  </si>
  <si>
    <t>Total Expenses (w/o ESA)</t>
  </si>
  <si>
    <t>Total Expenses (with ESA)</t>
  </si>
  <si>
    <t>EBIT</t>
  </si>
  <si>
    <t>Year  corrected -&gt;</t>
  </si>
  <si>
    <t>EBITDA (with ESA support)</t>
  </si>
  <si>
    <t>Operating Profit (EBIT) (with ESA support)</t>
  </si>
  <si>
    <t>Cumulative Free Cash Flow</t>
  </si>
  <si>
    <t>With ESA Financial Support</t>
  </si>
  <si>
    <t>Without ESA Financial Support</t>
  </si>
  <si>
    <t>D</t>
  </si>
  <si>
    <t>E</t>
  </si>
  <si>
    <t>F</t>
  </si>
  <si>
    <t>H</t>
  </si>
  <si>
    <t>G</t>
  </si>
  <si>
    <t>I</t>
  </si>
  <si>
    <t>K</t>
  </si>
  <si>
    <t>L</t>
  </si>
  <si>
    <t>M</t>
  </si>
  <si>
    <t>N</t>
  </si>
  <si>
    <t>O</t>
  </si>
  <si>
    <t>P</t>
  </si>
  <si>
    <t>Q</t>
  </si>
  <si>
    <t>R</t>
  </si>
  <si>
    <t>S</t>
  </si>
  <si>
    <t>T</t>
  </si>
  <si>
    <t>U</t>
  </si>
  <si>
    <t>V</t>
  </si>
  <si>
    <t>W</t>
  </si>
  <si>
    <t>X</t>
  </si>
  <si>
    <t>Cumulative cash flow without ESA</t>
  </si>
  <si>
    <t>Free cash flow without ESA</t>
  </si>
  <si>
    <t>Cumulative cash flow with ESA</t>
  </si>
  <si>
    <t>Free cash flow with ESA</t>
  </si>
  <si>
    <t>This worksheet is used to identify the range of years to be considered for the financial indicators</t>
  </si>
  <si>
    <t>Column position for Year 0</t>
  </si>
  <si>
    <t>Column identification for Year 0</t>
  </si>
  <si>
    <t>Yo cash flow without ESA</t>
  </si>
  <si>
    <t>Yo cash flow with ESA</t>
  </si>
  <si>
    <t>Year range</t>
  </si>
  <si>
    <t>Column position for end of Commercial Phase</t>
  </si>
  <si>
    <t>Column identification for end of Commercial Phase</t>
  </si>
  <si>
    <t>Free Cash Flow with ESA</t>
  </si>
  <si>
    <t>Discounted Cash Flow with ESA</t>
  </si>
  <si>
    <t>Free Cash Flow without ESA</t>
  </si>
  <si>
    <t>Cumulative Free Cash Flow without ESA</t>
  </si>
  <si>
    <t>Discounted Cash Flow without ESA</t>
  </si>
  <si>
    <t>IRR</t>
  </si>
  <si>
    <t>NPV</t>
  </si>
  <si>
    <t xml:space="preserve">WITHOUT ESA </t>
  </si>
  <si>
    <t xml:space="preserve">WITH ESA </t>
  </si>
  <si>
    <t>Pay Back</t>
  </si>
  <si>
    <r>
      <t xml:space="preserve">Go to worksheet </t>
    </r>
    <r>
      <rPr>
        <b/>
        <sz val="10"/>
        <color theme="3"/>
        <rFont val="Arial"/>
        <family val="2"/>
      </rPr>
      <t xml:space="preserve">II-Revenues </t>
    </r>
    <r>
      <rPr>
        <sz val="10"/>
        <color theme="3"/>
        <rFont val="Arial"/>
        <family val="2"/>
      </rPr>
      <t>and check if assumptions are consistent with the model</t>
    </r>
  </si>
  <si>
    <r>
      <t>Go to worksheet</t>
    </r>
    <r>
      <rPr>
        <b/>
        <sz val="10"/>
        <color theme="3"/>
        <rFont val="Arial"/>
        <family val="2"/>
      </rPr>
      <t xml:space="preserve"> III-Costs</t>
    </r>
    <r>
      <rPr>
        <sz val="10"/>
        <color theme="3"/>
        <rFont val="Arial"/>
        <family val="2"/>
      </rPr>
      <t xml:space="preserve"> andand check if assumptions are consistent with the model</t>
    </r>
  </si>
  <si>
    <r>
      <t>Go to worksheet</t>
    </r>
    <r>
      <rPr>
        <b/>
        <sz val="10"/>
        <color theme="3"/>
        <rFont val="Arial"/>
        <family val="2"/>
      </rPr>
      <t xml:space="preserve"> IV-Profit&amp;Loss + Cash Flow</t>
    </r>
    <r>
      <rPr>
        <sz val="10"/>
        <color theme="3"/>
        <rFont val="Arial"/>
        <family val="2"/>
      </rPr>
      <t xml:space="preserve"> to review the forecast.</t>
    </r>
  </si>
  <si>
    <r>
      <t xml:space="preserve">Note that the worksheet </t>
    </r>
    <r>
      <rPr>
        <b/>
        <sz val="10"/>
        <color theme="3"/>
        <rFont val="Arial"/>
        <family val="2"/>
      </rPr>
      <t>IV. Profit&amp;Loss + Cash Flow</t>
    </r>
    <r>
      <rPr>
        <sz val="10"/>
        <color theme="3"/>
        <rFont val="Arial"/>
        <family val="2"/>
      </rPr>
      <t xml:space="preserve"> uses figures automatically calculated in the </t>
    </r>
    <r>
      <rPr>
        <b/>
        <sz val="10"/>
        <color theme="3"/>
        <rFont val="Arial"/>
        <family val="2"/>
      </rPr>
      <t>Depreciation</t>
    </r>
    <r>
      <rPr>
        <sz val="10"/>
        <color theme="3"/>
        <rFont val="Arial"/>
        <family val="2"/>
      </rPr>
      <t xml:space="preserve"> worksheet.</t>
    </r>
  </si>
  <si>
    <r>
      <t>This worksheet is used to calculate capital depreciation based on the data provided in the  "</t>
    </r>
    <r>
      <rPr>
        <b/>
        <sz val="10"/>
        <color theme="3"/>
        <rFont val="Arial"/>
        <family val="2"/>
      </rPr>
      <t>III. Costs"</t>
    </r>
    <r>
      <rPr>
        <sz val="10"/>
        <color theme="3"/>
        <rFont val="Arial"/>
        <family val="2"/>
      </rPr>
      <t xml:space="preserve"> worksheet. </t>
    </r>
  </si>
  <si>
    <t>Result -- Annual Expenses</t>
  </si>
  <si>
    <t>Result -- Annual Revenues</t>
  </si>
  <si>
    <t>Uplift</t>
  </si>
  <si>
    <t>Churn Rate</t>
  </si>
  <si>
    <t>Market Analysis</t>
  </si>
  <si>
    <t xml:space="preserve">Our projections in term of the served obtainable market (SOM, being the percentage of the SAM that we aim to capture in the short terms for each segment identified), is shown in the following table. </t>
  </si>
  <si>
    <t>Colour legend</t>
  </si>
  <si>
    <t>Cells out of scope of your project will automatically turn grey</t>
  </si>
  <si>
    <r>
      <t xml:space="preserve">Blank cells will be calculated based on inputs of worksheet </t>
    </r>
    <r>
      <rPr>
        <b/>
        <sz val="10"/>
        <color theme="3"/>
        <rFont val="Arial"/>
        <family val="2"/>
      </rPr>
      <t>I-Input Data</t>
    </r>
  </si>
  <si>
    <t>Cells to be filled in</t>
  </si>
  <si>
    <t>Full duration in years (development + commercialisation)</t>
  </si>
  <si>
    <t>Free cash flow without ESA (excl. Yo)</t>
  </si>
  <si>
    <t>Free cash flow with ESA (excl. Yo)</t>
  </si>
  <si>
    <t>Column identification for Year 1</t>
  </si>
  <si>
    <t>Figures can be adjusted; if a specific entry is not applicable, put it to 0</t>
  </si>
  <si>
    <t>The 'Installation charge per unit ' should be used in case a service is offered afterwards with a recurring service fee each year. In case of installation charges when selling a product, without any revenue streams afterwards, these installation charges should be included to the 'Product unit price'.</t>
  </si>
  <si>
    <t>Duration days</t>
  </si>
  <si>
    <t>Days in start year</t>
  </si>
  <si>
    <t>Days in end year</t>
  </si>
  <si>
    <t>Mon-YY</t>
  </si>
  <si>
    <t>Included in proposed activity?</t>
  </si>
  <si>
    <t>NO</t>
  </si>
  <si>
    <t>YES</t>
  </si>
  <si>
    <t>-</t>
  </si>
  <si>
    <t>The FinForecastTool OPT ARTES is licensed under the ESA Software Community License – Type 3 - v1.1</t>
  </si>
  <si>
    <t>Table 1.1 Planning and Costing Summary</t>
  </si>
  <si>
    <t>Table 2.3 Product Pricing</t>
  </si>
  <si>
    <t>Table 2.7 Cost of Sales</t>
  </si>
  <si>
    <t>Table 2.8 Operational Expenditures</t>
  </si>
  <si>
    <t>Table 2.9 Capital Expenditures</t>
  </si>
  <si>
    <t>Table 2.12 Served Obtainable Market</t>
  </si>
  <si>
    <t>Table 2.13 Profit &amp; Loss and Cash Flow Statement</t>
  </si>
  <si>
    <t>Table 2.14 Financial Indicators with and without ESA Support</t>
  </si>
  <si>
    <t>Cumulative Volume Sales</t>
  </si>
  <si>
    <t>Number of product units sold per year</t>
  </si>
  <si>
    <t>Sales staff cost</t>
  </si>
  <si>
    <t>Marketing staff cost</t>
  </si>
  <si>
    <t>Admin staff cost</t>
  </si>
  <si>
    <t>Version</t>
  </si>
  <si>
    <t>Date</t>
  </si>
  <si>
    <t>Notes</t>
  </si>
  <si>
    <t>1.0</t>
  </si>
  <si>
    <t>First version published</t>
  </si>
  <si>
    <t>1.1</t>
  </si>
  <si>
    <t>Corrected bug in OPEX formula (row 20, 21 and 22 from column N to X in worksheet III. Costs) with uplift added to the salary and the sum multiplied by the number of staff</t>
  </si>
  <si>
    <t>1.2</t>
  </si>
  <si>
    <t>Corrected bug in Input Data on rows 52, 55 and 58 from column M to U.Uplift is now calculated with the value of cells L52, L55 and L58 instead of only L52 and the formula has been changed</t>
  </si>
  <si>
    <t>Version 1.3</t>
  </si>
  <si>
    <t>1.3</t>
  </si>
  <si>
    <t>Corrected bug in Profit&amp;Loss + Cash Flow cells D21:I21. Part of the ESA Financial support (negative number) was subtracted from Cost of Development Phases instead of added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</si>
</sst>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_-;\-* #,##0_-;_-* &quot;-&quot;??_-;_-@_-"/>
    <numFmt numFmtId="165" formatCode="#,##0_ ;[Red]\-#,##0\ "/>
    <numFmt numFmtId="166" formatCode="0.0"/>
    <numFmt numFmtId="167" formatCode="0_ ;[Red]\-0\ "/>
    <numFmt numFmtId="168" formatCode="_-&quot;$&quot;* #,##0.00_-;\-&quot;$&quot;* #,##0.00_-;_-&quot;$&quot;* &quot;-&quot;??_-;_-@_-"/>
    <numFmt numFmtId="169" formatCode="_-&quot;€&quot;\ * #,##0.00_-;\-&quot;€&quot;\ * #,##0.00_-;_-&quot;€&quot;\ * &quot;-&quot;??_-;_-@_-"/>
    <numFmt numFmtId="170" formatCode="[$-F800]dddd\,\ mmmm\ dd\,\ yyyy"/>
    <numFmt numFmtId="171" formatCode="&quot;€&quot;#,##0.00"/>
    <numFmt numFmtId="172" formatCode="0.0%"/>
  </numFmts>
  <fonts count="48" x14ac:knownFonts="1">
    <font>
      <sz val="10"/>
      <name val="Arial"/>
    </font>
    <font>
      <sz val="11"/>
      <color theme="1"/>
      <name val="Calibri"/>
      <family val="2"/>
      <scheme val="minor"/>
    </font>
    <font>
      <sz val="10"/>
      <name val="Arial"/>
      <family val="2"/>
    </font>
    <font>
      <sz val="8"/>
      <name val="Arial"/>
      <family val="2"/>
    </font>
    <font>
      <b/>
      <sz val="10"/>
      <name val="Arial"/>
      <family val="2"/>
    </font>
    <font>
      <i/>
      <sz val="10"/>
      <name val="Arial"/>
      <family val="2"/>
    </font>
    <font>
      <sz val="10"/>
      <color theme="3"/>
      <name val="Arial"/>
      <family val="2"/>
    </font>
    <font>
      <sz val="11"/>
      <color indexed="8"/>
      <name val="Calibri"/>
      <family val="2"/>
    </font>
    <font>
      <u/>
      <sz val="10"/>
      <color theme="11"/>
      <name val="Arial"/>
      <family val="2"/>
    </font>
    <font>
      <sz val="10"/>
      <color rgb="FFFF0000"/>
      <name val="Arial"/>
      <family val="2"/>
    </font>
    <font>
      <sz val="10"/>
      <name val="Arial"/>
      <family val="2"/>
    </font>
    <font>
      <b/>
      <sz val="10"/>
      <color theme="3"/>
      <name val="Arial"/>
      <family val="2"/>
    </font>
    <font>
      <b/>
      <sz val="22"/>
      <color theme="3"/>
      <name val="Arial"/>
      <family val="2"/>
    </font>
    <font>
      <i/>
      <sz val="10"/>
      <color theme="3"/>
      <name val="Arial"/>
      <family val="2"/>
    </font>
    <font>
      <b/>
      <sz val="12"/>
      <color theme="3"/>
      <name val="Arial"/>
      <family val="2"/>
    </font>
    <font>
      <b/>
      <i/>
      <sz val="10"/>
      <color theme="3"/>
      <name val="Arial"/>
      <family val="2"/>
    </font>
    <font>
      <b/>
      <sz val="11"/>
      <color theme="3"/>
      <name val="Arial"/>
      <family val="2"/>
    </font>
    <font>
      <b/>
      <sz val="14"/>
      <color theme="3"/>
      <name val="Arial"/>
      <family val="2"/>
    </font>
    <font>
      <u/>
      <sz val="10"/>
      <color theme="3"/>
      <name val="Arial"/>
      <family val="2"/>
    </font>
    <font>
      <b/>
      <sz val="10"/>
      <color rgb="FF002060"/>
      <name val="Arial"/>
      <family val="2"/>
    </font>
    <font>
      <b/>
      <sz val="10"/>
      <color rgb="FF1F497D"/>
      <name val="Arial"/>
      <family val="2"/>
    </font>
    <font>
      <sz val="14"/>
      <color theme="3"/>
      <name val="Arial"/>
      <family val="2"/>
    </font>
    <font>
      <sz val="14"/>
      <name val="Arial"/>
      <family val="2"/>
    </font>
    <font>
      <sz val="10"/>
      <color theme="4" tint="-0.499984740745262"/>
      <name val="Arial"/>
      <family val="2"/>
    </font>
    <font>
      <b/>
      <sz val="14"/>
      <color theme="4" tint="-0.499984740745262"/>
      <name val="Arial"/>
      <family val="2"/>
    </font>
    <font>
      <b/>
      <sz val="11"/>
      <color theme="4" tint="-0.499984740745262"/>
      <name val="Arial"/>
      <family val="2"/>
    </font>
    <font>
      <sz val="11"/>
      <color theme="4" tint="-0.499984740745262"/>
      <name val="Arial"/>
      <family val="2"/>
    </font>
    <font>
      <b/>
      <sz val="12"/>
      <color theme="4" tint="-0.499984740745262"/>
      <name val="Arial"/>
      <family val="2"/>
    </font>
    <font>
      <b/>
      <sz val="10"/>
      <color theme="4" tint="-0.499984740745262"/>
      <name val="Arial"/>
      <family val="2"/>
    </font>
    <font>
      <b/>
      <i/>
      <sz val="10"/>
      <color rgb="FF002060"/>
      <name val="Arial"/>
      <family val="2"/>
    </font>
    <font>
      <sz val="10"/>
      <color rgb="FF002060"/>
      <name val="Arial"/>
      <family val="2"/>
    </font>
    <font>
      <i/>
      <sz val="10"/>
      <color rgb="FF002060"/>
      <name val="Arial"/>
      <family val="2"/>
    </font>
    <font>
      <sz val="9"/>
      <color rgb="FF002060"/>
      <name val="Arial"/>
      <family val="2"/>
    </font>
    <font>
      <sz val="10"/>
      <color theme="3"/>
      <name val="Calibri"/>
      <family val="2"/>
      <scheme val="minor"/>
    </font>
    <font>
      <sz val="9"/>
      <name val="Arial"/>
      <family val="2"/>
    </font>
    <font>
      <sz val="9"/>
      <color theme="5"/>
      <name val="Arial"/>
      <family val="2"/>
    </font>
    <font>
      <sz val="9"/>
      <color theme="3"/>
      <name val="Arial"/>
      <family val="2"/>
    </font>
    <font>
      <b/>
      <sz val="10"/>
      <color theme="5"/>
      <name val="Arial"/>
      <family val="2"/>
    </font>
    <font>
      <sz val="11"/>
      <name val="Calibri"/>
      <family val="2"/>
    </font>
    <font>
      <b/>
      <sz val="11"/>
      <name val="Calibri"/>
      <family val="2"/>
    </font>
    <font>
      <sz val="8"/>
      <color theme="0" tint="-0.34998626667073579"/>
      <name val="Arial"/>
      <family val="2"/>
    </font>
    <font>
      <sz val="10"/>
      <color theme="0" tint="-0.34998626667073579"/>
      <name val="Arial"/>
      <family val="2"/>
    </font>
    <font>
      <sz val="10"/>
      <color rgb="FFC00000"/>
      <name val="Arial"/>
      <family val="2"/>
    </font>
    <font>
      <u/>
      <sz val="10"/>
      <color theme="10"/>
      <name val="Arial"/>
      <family val="2"/>
    </font>
    <font>
      <sz val="11"/>
      <name val="Arial"/>
      <family val="2"/>
    </font>
    <font>
      <sz val="9"/>
      <color indexed="81"/>
      <name val="Tahoma"/>
      <family val="2"/>
    </font>
    <font>
      <sz val="10"/>
      <color theme="0" tint="-0.249977111117893"/>
      <name val="Arial"/>
      <family val="2"/>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34998626667073579"/>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auto="1"/>
      </bottom>
      <diagonal/>
    </border>
    <border>
      <left style="double">
        <color auto="1"/>
      </left>
      <right/>
      <top/>
      <bottom style="double">
        <color auto="1"/>
      </bottom>
      <diagonal/>
    </border>
    <border>
      <left style="double">
        <color auto="1"/>
      </left>
      <right/>
      <top/>
      <bottom/>
      <diagonal/>
    </border>
    <border>
      <left style="double">
        <color auto="1"/>
      </left>
      <right/>
      <top style="double">
        <color auto="1"/>
      </top>
      <bottom/>
      <diagonal/>
    </border>
    <border>
      <left/>
      <right/>
      <top/>
      <bottom style="thick">
        <color auto="1"/>
      </bottom>
      <diagonal/>
    </border>
    <border>
      <left/>
      <right/>
      <top style="thick">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right/>
      <top/>
      <bottom style="double">
        <color auto="1"/>
      </bottom>
      <diagonal/>
    </border>
    <border>
      <left/>
      <right style="double">
        <color auto="1"/>
      </right>
      <top/>
      <bottom style="double">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style="medium">
        <color theme="1"/>
      </left>
      <right/>
      <top/>
      <bottom/>
      <diagonal/>
    </border>
  </borders>
  <cellStyleXfs count="94">
    <xf numFmtId="0" fontId="0"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3" fillId="0" borderId="0"/>
    <xf numFmtId="9" fontId="2" fillId="0" borderId="0" applyFont="0" applyFill="0" applyBorder="0" applyAlignment="0" applyProtection="0"/>
    <xf numFmtId="0" fontId="1" fillId="0" borderId="0"/>
    <xf numFmtId="43" fontId="7" fillId="0" borderId="0" applyFont="0" applyFill="0" applyBorder="0" applyAlignment="0" applyProtection="0"/>
    <xf numFmtId="168" fontId="7"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169" fontId="1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3" fillId="0" borderId="0" applyNumberFormat="0" applyFill="0" applyBorder="0" applyAlignment="0" applyProtection="0"/>
  </cellStyleXfs>
  <cellXfs count="494">
    <xf numFmtId="0" fontId="0" fillId="0" borderId="0" xfId="0"/>
    <xf numFmtId="164" fontId="0" fillId="0" borderId="0" xfId="1" applyNumberFormat="1" applyFont="1"/>
    <xf numFmtId="0" fontId="4" fillId="0" borderId="0" xfId="0" applyFont="1"/>
    <xf numFmtId="0" fontId="5" fillId="0" borderId="0" xfId="0" applyFont="1"/>
    <xf numFmtId="0" fontId="0" fillId="0" borderId="0" xfId="0" applyFont="1"/>
    <xf numFmtId="0" fontId="6" fillId="0" borderId="0" xfId="0" applyFont="1"/>
    <xf numFmtId="0" fontId="6" fillId="0" borderId="0" xfId="0" applyFont="1" applyFill="1"/>
    <xf numFmtId="0" fontId="9" fillId="0" borderId="0" xfId="0" applyFont="1"/>
    <xf numFmtId="0" fontId="11" fillId="0" borderId="0" xfId="0" applyFont="1" applyFill="1" applyBorder="1" applyAlignment="1">
      <alignment horizontal="center"/>
    </xf>
    <xf numFmtId="0" fontId="11" fillId="0" borderId="0" xfId="0" applyFont="1" applyFill="1"/>
    <xf numFmtId="3" fontId="11" fillId="0" borderId="0" xfId="0" applyNumberFormat="1" applyFont="1" applyFill="1" applyBorder="1"/>
    <xf numFmtId="3" fontId="6" fillId="0" borderId="0" xfId="0" applyNumberFormat="1" applyFont="1" applyFill="1" applyBorder="1"/>
    <xf numFmtId="0" fontId="6" fillId="0" borderId="0" xfId="0" applyFont="1" applyFill="1" applyBorder="1"/>
    <xf numFmtId="3" fontId="6" fillId="0" borderId="0" xfId="0" applyNumberFormat="1" applyFont="1" applyFill="1"/>
    <xf numFmtId="0" fontId="12" fillId="0" borderId="0" xfId="0" applyFont="1"/>
    <xf numFmtId="0" fontId="13" fillId="0" borderId="0" xfId="0" applyFont="1"/>
    <xf numFmtId="0" fontId="14" fillId="0" borderId="0" xfId="0" applyFont="1" applyFill="1"/>
    <xf numFmtId="0" fontId="6" fillId="0" borderId="0" xfId="0" applyFont="1" applyAlignment="1">
      <alignment horizontal="center"/>
    </xf>
    <xf numFmtId="0" fontId="0" fillId="0" borderId="0" xfId="0" applyFont="1" applyAlignment="1">
      <alignment horizontal="center"/>
    </xf>
    <xf numFmtId="0" fontId="14" fillId="0" borderId="0" xfId="0" applyFont="1"/>
    <xf numFmtId="0" fontId="16" fillId="0" borderId="0" xfId="0" applyFont="1" applyAlignment="1">
      <alignment horizontal="center"/>
    </xf>
    <xf numFmtId="0" fontId="16" fillId="0" borderId="0" xfId="0" applyFont="1"/>
    <xf numFmtId="0" fontId="11" fillId="0" borderId="0" xfId="0" applyFont="1" applyAlignment="1">
      <alignment horizontal="center"/>
    </xf>
    <xf numFmtId="0" fontId="11" fillId="0" borderId="0" xfId="0" applyFont="1"/>
    <xf numFmtId="0" fontId="13" fillId="0" borderId="0" xfId="0" applyFont="1" applyFill="1"/>
    <xf numFmtId="0" fontId="16" fillId="0" borderId="0" xfId="0" applyFont="1" applyBorder="1"/>
    <xf numFmtId="0" fontId="17" fillId="0" borderId="16" xfId="0" applyFont="1" applyBorder="1"/>
    <xf numFmtId="0" fontId="6" fillId="0" borderId="0" xfId="0" applyFont="1" applyBorder="1"/>
    <xf numFmtId="0" fontId="18" fillId="0" borderId="0" xfId="0" applyFont="1" applyBorder="1"/>
    <xf numFmtId="0" fontId="14" fillId="0" borderId="0" xfId="0" applyFont="1" applyAlignment="1">
      <alignment horizontal="center"/>
    </xf>
    <xf numFmtId="0" fontId="0" fillId="0" borderId="0" xfId="0" applyFont="1" applyFill="1"/>
    <xf numFmtId="0" fontId="15" fillId="0" borderId="0" xfId="0" applyFont="1" applyBorder="1" applyAlignment="1">
      <alignment horizontal="right"/>
    </xf>
    <xf numFmtId="0" fontId="6" fillId="0" borderId="0" xfId="0" applyFont="1" applyFill="1" applyBorder="1" applyAlignment="1">
      <alignment horizontal="center"/>
    </xf>
    <xf numFmtId="3" fontId="15" fillId="0" borderId="0" xfId="0" applyNumberFormat="1" applyFont="1" applyBorder="1"/>
    <xf numFmtId="9" fontId="13" fillId="0" borderId="0" xfId="0" applyNumberFormat="1" applyFont="1" applyFill="1" applyBorder="1"/>
    <xf numFmtId="0" fontId="15" fillId="0" borderId="0" xfId="0" applyFont="1" applyBorder="1"/>
    <xf numFmtId="49" fontId="11" fillId="0" borderId="0" xfId="0" applyNumberFormat="1" applyFont="1" applyFill="1" applyAlignment="1">
      <alignment horizontal="center"/>
    </xf>
    <xf numFmtId="0" fontId="14" fillId="0" borderId="0" xfId="0" applyFont="1" applyBorder="1"/>
    <xf numFmtId="0" fontId="20" fillId="0" borderId="0" xfId="0" applyFont="1"/>
    <xf numFmtId="0" fontId="17" fillId="0" borderId="0" xfId="0" applyFont="1" applyAlignment="1">
      <alignment horizontal="center"/>
    </xf>
    <xf numFmtId="0" fontId="21" fillId="0" borderId="16" xfId="0" applyFont="1" applyBorder="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6" fillId="0" borderId="0" xfId="0" applyFont="1" applyFill="1" applyAlignment="1">
      <alignment horizontal="center"/>
    </xf>
    <xf numFmtId="0" fontId="0" fillId="0" borderId="0" xfId="0" applyFont="1" applyBorder="1"/>
    <xf numFmtId="49" fontId="6" fillId="0" borderId="0" xfId="0" applyNumberFormat="1" applyFont="1" applyFill="1" applyBorder="1" applyAlignment="1">
      <alignment horizontal="left"/>
    </xf>
    <xf numFmtId="0" fontId="6" fillId="0" borderId="0" xfId="0" applyFont="1" applyFill="1" applyBorder="1" applyAlignment="1">
      <alignment horizontal="right"/>
    </xf>
    <xf numFmtId="0" fontId="15" fillId="0" borderId="0" xfId="0" applyFont="1" applyFill="1" applyBorder="1"/>
    <xf numFmtId="164" fontId="32" fillId="0" borderId="0" xfId="1" applyNumberFormat="1" applyFont="1"/>
    <xf numFmtId="164" fontId="32" fillId="0" borderId="0" xfId="1" applyNumberFormat="1" applyFont="1" applyFill="1" applyProtection="1">
      <protection locked="0"/>
    </xf>
    <xf numFmtId="164" fontId="32" fillId="0" borderId="0" xfId="1" applyNumberFormat="1" applyFont="1" applyFill="1"/>
    <xf numFmtId="0" fontId="25" fillId="0" borderId="0" xfId="0" applyFont="1" applyAlignment="1">
      <alignment horizontal="center"/>
    </xf>
    <xf numFmtId="0" fontId="28" fillId="0" borderId="0" xfId="0" applyFont="1" applyBorder="1"/>
    <xf numFmtId="0" fontId="6" fillId="0" borderId="1" xfId="0" applyFont="1" applyFill="1" applyBorder="1" applyAlignment="1">
      <alignment horizontal="center" vertical="center"/>
    </xf>
    <xf numFmtId="0" fontId="6" fillId="0" borderId="1" xfId="0" applyFont="1" applyFill="1" applyBorder="1" applyAlignment="1">
      <alignment horizontal="center"/>
    </xf>
    <xf numFmtId="0" fontId="11" fillId="0" borderId="0" xfId="0" applyFont="1" applyFill="1" applyAlignment="1">
      <alignment horizontal="right"/>
    </xf>
    <xf numFmtId="1" fontId="6" fillId="0" borderId="10" xfId="0" applyNumberFormat="1" applyFont="1" applyFill="1" applyBorder="1" applyAlignment="1">
      <alignment horizontal="center"/>
    </xf>
    <xf numFmtId="9" fontId="6" fillId="0" borderId="11" xfId="36" applyFont="1" applyFill="1" applyBorder="1" applyAlignment="1">
      <alignment horizontal="center"/>
    </xf>
    <xf numFmtId="0" fontId="11" fillId="0" borderId="11" xfId="0" applyFont="1" applyFill="1" applyBorder="1" applyAlignment="1">
      <alignment horizontal="center"/>
    </xf>
    <xf numFmtId="0" fontId="11" fillId="0" borderId="12" xfId="0" applyFont="1" applyFill="1" applyBorder="1" applyAlignment="1">
      <alignment horizontal="center"/>
    </xf>
    <xf numFmtId="0" fontId="17" fillId="0" borderId="3" xfId="0" applyFont="1" applyFill="1" applyBorder="1" applyAlignment="1">
      <alignment horizontal="left"/>
    </xf>
    <xf numFmtId="0" fontId="11" fillId="0" borderId="3" xfId="0" applyFont="1" applyFill="1" applyBorder="1" applyAlignment="1">
      <alignment horizontal="left"/>
    </xf>
    <xf numFmtId="0" fontId="11" fillId="0" borderId="0" xfId="0" applyFont="1" applyFill="1" applyBorder="1" applyAlignment="1">
      <alignment horizontal="left"/>
    </xf>
    <xf numFmtId="0" fontId="6" fillId="0" borderId="0" xfId="0" applyFont="1" applyFill="1" applyAlignment="1">
      <alignment horizontal="left" indent="1"/>
    </xf>
    <xf numFmtId="0" fontId="11" fillId="0" borderId="20" xfId="0" applyFont="1" applyFill="1" applyBorder="1" applyAlignment="1">
      <alignment horizontal="left"/>
    </xf>
    <xf numFmtId="3" fontId="11" fillId="0" borderId="20" xfId="0" applyNumberFormat="1" applyFont="1" applyFill="1" applyBorder="1"/>
    <xf numFmtId="3" fontId="6" fillId="0" borderId="20" xfId="0" applyNumberFormat="1" applyFont="1" applyFill="1" applyBorder="1"/>
    <xf numFmtId="0" fontId="6" fillId="0" borderId="21" xfId="0" applyFont="1" applyFill="1" applyBorder="1" applyAlignment="1"/>
    <xf numFmtId="3" fontId="6" fillId="0" borderId="0" xfId="0" applyNumberFormat="1" applyFont="1" applyFill="1" applyBorder="1" applyAlignment="1">
      <alignment horizontal="center"/>
    </xf>
    <xf numFmtId="3" fontId="11" fillId="0" borderId="0" xfId="0" applyNumberFormat="1" applyFont="1" applyFill="1" applyAlignment="1">
      <alignment horizontal="center"/>
    </xf>
    <xf numFmtId="0" fontId="6" fillId="0" borderId="0" xfId="0" applyFont="1" applyFill="1" applyBorder="1" applyAlignment="1"/>
    <xf numFmtId="3" fontId="11" fillId="0" borderId="0" xfId="0" applyNumberFormat="1" applyFont="1" applyFill="1" applyBorder="1" applyAlignment="1">
      <alignment horizontal="center"/>
    </xf>
    <xf numFmtId="0" fontId="11" fillId="0" borderId="22" xfId="0" applyFont="1" applyFill="1" applyBorder="1" applyAlignment="1">
      <alignment horizontal="left"/>
    </xf>
    <xf numFmtId="0" fontId="11" fillId="0" borderId="23" xfId="0" applyFont="1" applyFill="1" applyBorder="1" applyAlignment="1">
      <alignment horizontal="left"/>
    </xf>
    <xf numFmtId="0" fontId="11" fillId="0" borderId="23" xfId="0" applyFont="1" applyFill="1" applyBorder="1"/>
    <xf numFmtId="3" fontId="11" fillId="0" borderId="23" xfId="0" applyNumberFormat="1" applyFont="1" applyFill="1" applyBorder="1"/>
    <xf numFmtId="3" fontId="11" fillId="0" borderId="24" xfId="0" applyNumberFormat="1" applyFont="1" applyFill="1" applyBorder="1"/>
    <xf numFmtId="0" fontId="21" fillId="0" borderId="0" xfId="0" applyFont="1" applyBorder="1"/>
    <xf numFmtId="0" fontId="27" fillId="0" borderId="16" xfId="0" applyFont="1" applyBorder="1"/>
    <xf numFmtId="0" fontId="25" fillId="0" borderId="16" xfId="0" applyFont="1" applyBorder="1"/>
    <xf numFmtId="0" fontId="6" fillId="0" borderId="25" xfId="0" applyFont="1" applyFill="1" applyBorder="1"/>
    <xf numFmtId="0" fontId="6" fillId="0" borderId="26" xfId="0" applyFont="1" applyFill="1" applyBorder="1"/>
    <xf numFmtId="0" fontId="6" fillId="0" borderId="27" xfId="0" applyFont="1" applyFill="1" applyBorder="1"/>
    <xf numFmtId="0" fontId="6" fillId="0" borderId="28" xfId="0" applyFont="1" applyFill="1" applyBorder="1"/>
    <xf numFmtId="0" fontId="6" fillId="0" borderId="29" xfId="0" applyFont="1" applyFill="1" applyBorder="1"/>
    <xf numFmtId="0" fontId="24" fillId="0" borderId="16" xfId="0" applyFont="1" applyBorder="1"/>
    <xf numFmtId="0" fontId="28" fillId="0" borderId="0" xfId="0" applyFont="1"/>
    <xf numFmtId="0" fontId="2" fillId="0" borderId="0" xfId="0" applyFont="1" applyBorder="1" applyAlignment="1">
      <alignment vertical="center" textRotation="90"/>
    </xf>
    <xf numFmtId="0" fontId="0" fillId="0" borderId="0" xfId="0" applyFont="1" applyBorder="1" applyAlignment="1">
      <alignment vertical="center" textRotation="90"/>
    </xf>
    <xf numFmtId="1" fontId="6" fillId="2" borderId="0" xfId="0" applyNumberFormat="1" applyFont="1" applyFill="1" applyBorder="1" applyAlignment="1">
      <alignment horizontal="center"/>
    </xf>
    <xf numFmtId="1" fontId="6" fillId="2" borderId="2" xfId="0" applyNumberFormat="1" applyFont="1" applyFill="1" applyBorder="1" applyAlignment="1">
      <alignment horizontal="center"/>
    </xf>
    <xf numFmtId="1" fontId="6" fillId="2" borderId="3" xfId="0" applyNumberFormat="1" applyFont="1" applyFill="1" applyBorder="1" applyAlignment="1">
      <alignment horizontal="center"/>
    </xf>
    <xf numFmtId="1" fontId="6" fillId="2" borderId="5" xfId="0" applyNumberFormat="1" applyFont="1" applyFill="1" applyBorder="1" applyAlignment="1">
      <alignment horizontal="center"/>
    </xf>
    <xf numFmtId="1" fontId="6" fillId="2" borderId="7" xfId="0" applyNumberFormat="1" applyFont="1" applyFill="1" applyBorder="1" applyAlignment="1">
      <alignment horizontal="center"/>
    </xf>
    <xf numFmtId="1" fontId="6" fillId="0" borderId="0" xfId="0" applyNumberFormat="1" applyFont="1" applyFill="1" applyBorder="1" applyAlignment="1">
      <alignment horizontal="center"/>
    </xf>
    <xf numFmtId="0" fontId="6" fillId="3" borderId="13" xfId="0" applyFont="1" applyFill="1" applyBorder="1" applyAlignment="1">
      <alignment horizontal="left"/>
    </xf>
    <xf numFmtId="0" fontId="6" fillId="3" borderId="14" xfId="0" applyFont="1" applyFill="1" applyBorder="1" applyAlignment="1">
      <alignment horizontal="left"/>
    </xf>
    <xf numFmtId="0" fontId="35" fillId="0" borderId="0" xfId="0" applyFont="1" applyFill="1" applyBorder="1" applyAlignment="1">
      <alignment horizontal="center" vertical="center" textRotation="90" wrapText="1"/>
    </xf>
    <xf numFmtId="0" fontId="0" fillId="0" borderId="0" xfId="0" applyFill="1"/>
    <xf numFmtId="9" fontId="11" fillId="2" borderId="1" xfId="0" applyNumberFormat="1" applyFont="1" applyFill="1" applyBorder="1" applyAlignment="1">
      <alignment horizontal="center"/>
    </xf>
    <xf numFmtId="49" fontId="6" fillId="0" borderId="0" xfId="0" applyNumberFormat="1" applyFont="1" applyFill="1"/>
    <xf numFmtId="165" fontId="19" fillId="3" borderId="1" xfId="1" applyNumberFormat="1" applyFont="1" applyFill="1" applyBorder="1" applyAlignment="1">
      <alignment horizontal="center"/>
    </xf>
    <xf numFmtId="0" fontId="29" fillId="3" borderId="1" xfId="0" applyFont="1" applyFill="1" applyBorder="1"/>
    <xf numFmtId="0" fontId="30" fillId="3" borderId="1" xfId="0" applyFont="1" applyFill="1" applyBorder="1"/>
    <xf numFmtId="0" fontId="19" fillId="3" borderId="13" xfId="0" applyFont="1" applyFill="1" applyBorder="1"/>
    <xf numFmtId="0" fontId="30" fillId="3" borderId="13" xfId="0" applyFont="1" applyFill="1" applyBorder="1"/>
    <xf numFmtId="0" fontId="29" fillId="3" borderId="13" xfId="0" applyFont="1" applyFill="1" applyBorder="1"/>
    <xf numFmtId="0" fontId="30" fillId="3" borderId="15" xfId="0" applyFont="1" applyFill="1" applyBorder="1"/>
    <xf numFmtId="0" fontId="30" fillId="3" borderId="14" xfId="0" applyFont="1" applyFill="1" applyBorder="1"/>
    <xf numFmtId="165" fontId="30" fillId="3" borderId="2" xfId="1" applyNumberFormat="1" applyFont="1" applyFill="1" applyBorder="1"/>
    <xf numFmtId="165" fontId="30" fillId="3" borderId="5" xfId="1" applyNumberFormat="1" applyFont="1" applyFill="1" applyBorder="1" applyProtection="1">
      <protection locked="0"/>
    </xf>
    <xf numFmtId="0" fontId="31" fillId="3" borderId="14" xfId="0" applyFont="1" applyFill="1" applyBorder="1"/>
    <xf numFmtId="165" fontId="30" fillId="3" borderId="7" xfId="1" applyNumberFormat="1" applyFont="1" applyFill="1" applyBorder="1"/>
    <xf numFmtId="0" fontId="11" fillId="0" borderId="0" xfId="0" applyFont="1" applyFill="1" applyAlignment="1">
      <alignment horizontal="center"/>
    </xf>
    <xf numFmtId="0" fontId="13" fillId="0" borderId="0" xfId="0" applyFont="1" applyFill="1" applyBorder="1"/>
    <xf numFmtId="0" fontId="16" fillId="0" borderId="0" xfId="0" applyFont="1" applyFill="1" applyBorder="1" applyAlignment="1">
      <alignment horizontal="center"/>
    </xf>
    <xf numFmtId="0" fontId="16" fillId="0" borderId="0" xfId="0" applyFont="1" applyFill="1" applyBorder="1"/>
    <xf numFmtId="0" fontId="0" fillId="0" borderId="0" xfId="0" applyFont="1" applyFill="1" applyBorder="1"/>
    <xf numFmtId="165" fontId="33" fillId="0" borderId="0" xfId="1" applyNumberFormat="1" applyFont="1" applyFill="1" applyBorder="1" applyAlignment="1">
      <alignment horizontal="center"/>
    </xf>
    <xf numFmtId="0" fontId="37" fillId="0" borderId="0" xfId="0" applyFont="1"/>
    <xf numFmtId="0" fontId="39" fillId="0" borderId="0" xfId="0" applyFont="1"/>
    <xf numFmtId="0" fontId="2" fillId="0" borderId="0" xfId="0" applyFont="1" applyFill="1" applyBorder="1" applyAlignment="1">
      <alignment horizontal="center" vertical="center"/>
    </xf>
    <xf numFmtId="1" fontId="0" fillId="0" borderId="0" xfId="0" applyNumberFormat="1" applyFill="1" applyBorder="1" applyAlignment="1">
      <alignment horizontal="center" vertical="center"/>
    </xf>
    <xf numFmtId="0" fontId="38" fillId="0" borderId="0" xfId="0" applyFont="1"/>
    <xf numFmtId="0" fontId="24" fillId="0" borderId="0" xfId="0" applyFont="1" applyBorder="1"/>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17"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9" fontId="0" fillId="2" borderId="1" xfId="2" applyFont="1" applyFill="1" applyBorder="1" applyAlignment="1">
      <alignment horizontal="center" vertical="center"/>
    </xf>
    <xf numFmtId="0" fontId="35" fillId="0" borderId="0" xfId="0" applyFont="1" applyBorder="1" applyAlignment="1">
      <alignment horizontal="center" vertical="center" textRotation="90" wrapText="1"/>
    </xf>
    <xf numFmtId="0" fontId="2" fillId="0" borderId="0" xfId="0" applyFont="1"/>
    <xf numFmtId="1" fontId="41" fillId="0" borderId="0" xfId="0" applyNumberFormat="1" applyFont="1" applyAlignment="1">
      <alignment horizontal="center"/>
    </xf>
    <xf numFmtId="0" fontId="41" fillId="0" borderId="0" xfId="0" applyFont="1" applyAlignment="1">
      <alignment horizontal="center"/>
    </xf>
    <xf numFmtId="167" fontId="6" fillId="3" borderId="1" xfId="1" applyNumberFormat="1" applyFont="1" applyFill="1" applyBorder="1" applyAlignment="1">
      <alignment horizontal="center"/>
    </xf>
    <xf numFmtId="0" fontId="11" fillId="0" borderId="10" xfId="0" applyFont="1" applyBorder="1" applyAlignment="1">
      <alignment horizontal="center"/>
    </xf>
    <xf numFmtId="0" fontId="2" fillId="3" borderId="0" xfId="0" applyFont="1" applyFill="1" applyBorder="1" applyAlignment="1">
      <alignment horizontal="center" vertical="center"/>
    </xf>
    <xf numFmtId="1" fontId="0" fillId="3" borderId="0" xfId="0" applyNumberFormat="1" applyFill="1" applyBorder="1" applyAlignment="1">
      <alignment horizontal="center" vertical="center"/>
    </xf>
    <xf numFmtId="17" fontId="0" fillId="5" borderId="10" xfId="0" applyNumberFormat="1" applyFill="1" applyBorder="1" applyAlignment="1">
      <alignment horizontal="center"/>
    </xf>
    <xf numFmtId="0" fontId="2" fillId="0" borderId="0" xfId="0" applyFont="1" applyAlignment="1">
      <alignment horizontal="center"/>
    </xf>
    <xf numFmtId="0" fontId="0" fillId="0" borderId="5" xfId="0" applyBorder="1"/>
    <xf numFmtId="0" fontId="0" fillId="2" borderId="3" xfId="0" applyFill="1" applyBorder="1"/>
    <xf numFmtId="0" fontId="0" fillId="2" borderId="0" xfId="0" applyFill="1" applyBorder="1"/>
    <xf numFmtId="0" fontId="6" fillId="2" borderId="3" xfId="0" applyFont="1" applyFill="1" applyBorder="1"/>
    <xf numFmtId="166" fontId="6" fillId="2" borderId="0" xfId="0" applyNumberFormat="1" applyFont="1" applyFill="1" applyBorder="1"/>
    <xf numFmtId="0" fontId="6" fillId="2" borderId="8" xfId="0" applyFont="1" applyFill="1" applyBorder="1"/>
    <xf numFmtId="166" fontId="6" fillId="2" borderId="8" xfId="0" applyNumberFormat="1" applyFont="1" applyFill="1" applyBorder="1"/>
    <xf numFmtId="0" fontId="6" fillId="2" borderId="13" xfId="0" applyFont="1" applyFill="1" applyBorder="1" applyAlignment="1">
      <alignment horizontal="center" vertical="center"/>
    </xf>
    <xf numFmtId="166" fontId="6" fillId="2" borderId="8" xfId="0" applyNumberFormat="1" applyFont="1" applyFill="1" applyBorder="1" applyAlignment="1">
      <alignment horizontal="center" vertical="center"/>
    </xf>
    <xf numFmtId="1" fontId="6" fillId="2" borderId="3" xfId="0" applyNumberFormat="1" applyFont="1" applyFill="1" applyBorder="1" applyAlignment="1">
      <alignment horizontal="right" vertical="center"/>
    </xf>
    <xf numFmtId="1" fontId="6" fillId="2" borderId="8" xfId="0" applyNumberFormat="1" applyFont="1" applyFill="1" applyBorder="1" applyAlignment="1">
      <alignment horizontal="right" vertical="center"/>
    </xf>
    <xf numFmtId="1" fontId="6" fillId="0" borderId="3" xfId="0" applyNumberFormat="1" applyFont="1" applyFill="1" applyBorder="1" applyAlignment="1">
      <alignment horizontal="center"/>
    </xf>
    <xf numFmtId="1" fontId="6" fillId="0" borderId="4" xfId="0" applyNumberFormat="1" applyFont="1" applyFill="1" applyBorder="1" applyAlignment="1">
      <alignment horizontal="center"/>
    </xf>
    <xf numFmtId="1" fontId="6" fillId="0" borderId="6" xfId="0" applyNumberFormat="1" applyFont="1" applyFill="1" applyBorder="1" applyAlignment="1">
      <alignment horizontal="center"/>
    </xf>
    <xf numFmtId="1" fontId="6" fillId="0" borderId="8" xfId="0" applyNumberFormat="1" applyFont="1" applyFill="1" applyBorder="1" applyAlignment="1">
      <alignment horizontal="center"/>
    </xf>
    <xf numFmtId="1" fontId="6" fillId="0" borderId="9" xfId="0" applyNumberFormat="1" applyFont="1" applyFill="1" applyBorder="1" applyAlignment="1">
      <alignment horizontal="center"/>
    </xf>
    <xf numFmtId="0" fontId="0" fillId="0" borderId="5" xfId="0" applyFont="1" applyBorder="1"/>
    <xf numFmtId="167" fontId="6" fillId="5" borderId="1" xfId="1" applyNumberFormat="1" applyFont="1" applyFill="1" applyBorder="1" applyAlignment="1">
      <alignment horizontal="center"/>
    </xf>
    <xf numFmtId="167" fontId="6" fillId="5" borderId="13" xfId="1" applyNumberFormat="1" applyFont="1" applyFill="1" applyBorder="1" applyAlignment="1">
      <alignment horizontal="center"/>
    </xf>
    <xf numFmtId="49" fontId="6" fillId="0" borderId="13" xfId="0" applyNumberFormat="1" applyFont="1" applyBorder="1" applyAlignment="1">
      <alignment horizontal="center"/>
    </xf>
    <xf numFmtId="49" fontId="6" fillId="0" borderId="15" xfId="0" applyNumberFormat="1" applyFont="1" applyBorder="1" applyAlignment="1">
      <alignment horizontal="center"/>
    </xf>
    <xf numFmtId="49" fontId="6" fillId="0" borderId="14" xfId="0" applyNumberFormat="1" applyFont="1" applyBorder="1" applyAlignment="1">
      <alignment horizontal="center"/>
    </xf>
    <xf numFmtId="0" fontId="36" fillId="3" borderId="13" xfId="0" applyFont="1" applyFill="1" applyBorder="1" applyAlignment="1">
      <alignment horizontal="center" vertical="center" wrapText="1"/>
    </xf>
    <xf numFmtId="0" fontId="36" fillId="3" borderId="15" xfId="0" applyFont="1" applyFill="1" applyBorder="1" applyAlignment="1">
      <alignment horizontal="center" vertical="center" wrapText="1"/>
    </xf>
    <xf numFmtId="0" fontId="36" fillId="3" borderId="14" xfId="0" applyFont="1" applyFill="1" applyBorder="1" applyAlignment="1">
      <alignment horizontal="center" vertical="center" wrapText="1"/>
    </xf>
    <xf numFmtId="17" fontId="2" fillId="5" borderId="10" xfId="0" applyNumberFormat="1" applyFont="1" applyFill="1" applyBorder="1" applyAlignment="1">
      <alignment horizontal="center"/>
    </xf>
    <xf numFmtId="164" fontId="6" fillId="0" borderId="2" xfId="1" applyNumberFormat="1" applyFont="1" applyBorder="1"/>
    <xf numFmtId="164" fontId="6" fillId="0" borderId="3" xfId="1" applyNumberFormat="1" applyFont="1" applyBorder="1"/>
    <xf numFmtId="164" fontId="6" fillId="0" borderId="4" xfId="1" applyNumberFormat="1" applyFont="1" applyBorder="1"/>
    <xf numFmtId="164" fontId="6" fillId="0" borderId="5" xfId="1" applyNumberFormat="1" applyFont="1" applyBorder="1"/>
    <xf numFmtId="164" fontId="6" fillId="0" borderId="0" xfId="1" applyNumberFormat="1" applyFont="1" applyBorder="1"/>
    <xf numFmtId="164" fontId="6" fillId="0" borderId="6" xfId="1" applyNumberFormat="1" applyFont="1" applyBorder="1"/>
    <xf numFmtId="164" fontId="11" fillId="0" borderId="11" xfId="1" applyNumberFormat="1" applyFont="1" applyBorder="1"/>
    <xf numFmtId="164" fontId="11" fillId="0" borderId="12" xfId="1" applyNumberFormat="1" applyFont="1" applyBorder="1"/>
    <xf numFmtId="164" fontId="6" fillId="0" borderId="0" xfId="1" applyNumberFormat="1" applyFont="1"/>
    <xf numFmtId="164" fontId="0" fillId="0" borderId="0" xfId="1" applyNumberFormat="1" applyFont="1" applyFill="1"/>
    <xf numFmtId="164" fontId="6" fillId="3" borderId="1" xfId="1" applyNumberFormat="1" applyFont="1" applyFill="1" applyBorder="1" applyAlignment="1">
      <alignment horizontal="center"/>
    </xf>
    <xf numFmtId="164" fontId="6" fillId="0" borderId="7" xfId="1" applyNumberFormat="1" applyFont="1" applyBorder="1"/>
    <xf numFmtId="164" fontId="6" fillId="0" borderId="8" xfId="1" applyNumberFormat="1" applyFont="1" applyBorder="1"/>
    <xf numFmtId="164" fontId="6" fillId="0" borderId="9" xfId="1" applyNumberFormat="1" applyFont="1" applyBorder="1"/>
    <xf numFmtId="0" fontId="6" fillId="0" borderId="13" xfId="1" applyNumberFormat="1" applyFont="1" applyFill="1" applyBorder="1" applyAlignment="1">
      <alignment horizontal="center" vertical="center"/>
    </xf>
    <xf numFmtId="0" fontId="6" fillId="0" borderId="15" xfId="1" applyNumberFormat="1" applyFont="1" applyFill="1" applyBorder="1" applyAlignment="1">
      <alignment horizontal="center" vertical="center"/>
    </xf>
    <xf numFmtId="0" fontId="6" fillId="0" borderId="14" xfId="1" applyNumberFormat="1" applyFont="1" applyFill="1" applyBorder="1" applyAlignment="1">
      <alignment horizontal="center" vertical="center"/>
    </xf>
    <xf numFmtId="0" fontId="0" fillId="6" borderId="0" xfId="0" applyFont="1" applyFill="1"/>
    <xf numFmtId="0" fontId="0" fillId="6" borderId="2" xfId="0" applyFont="1" applyFill="1" applyBorder="1"/>
    <xf numFmtId="0" fontId="0" fillId="6" borderId="3" xfId="0" applyFont="1" applyFill="1" applyBorder="1"/>
    <xf numFmtId="0" fontId="0" fillId="6" borderId="5" xfId="0" applyFont="1" applyFill="1" applyBorder="1"/>
    <xf numFmtId="0" fontId="0" fillId="6" borderId="0" xfId="0" applyFont="1" applyFill="1" applyBorder="1"/>
    <xf numFmtId="0" fontId="0" fillId="6" borderId="7" xfId="0" applyFont="1" applyFill="1" applyBorder="1"/>
    <xf numFmtId="0" fontId="0" fillId="6" borderId="8" xfId="0" applyFont="1" applyFill="1" applyBorder="1"/>
    <xf numFmtId="164" fontId="6" fillId="0" borderId="11" xfId="1" applyNumberFormat="1" applyFont="1" applyBorder="1"/>
    <xf numFmtId="164" fontId="6" fillId="0" borderId="12" xfId="1" applyNumberFormat="1" applyFont="1" applyBorder="1"/>
    <xf numFmtId="0" fontId="0" fillId="6" borderId="11" xfId="0" applyFont="1" applyFill="1" applyBorder="1"/>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1" fontId="6" fillId="2" borderId="3" xfId="0" applyNumberFormat="1" applyFont="1" applyFill="1" applyBorder="1"/>
    <xf numFmtId="1" fontId="6" fillId="2" borderId="0" xfId="0" applyNumberFormat="1" applyFont="1" applyFill="1" applyBorder="1"/>
    <xf numFmtId="1" fontId="6" fillId="2" borderId="8" xfId="0" applyNumberFormat="1" applyFont="1" applyFill="1" applyBorder="1"/>
    <xf numFmtId="164" fontId="6" fillId="6" borderId="3" xfId="1" applyNumberFormat="1" applyFont="1" applyFill="1" applyBorder="1"/>
    <xf numFmtId="164" fontId="6" fillId="6" borderId="4" xfId="1" applyNumberFormat="1" applyFont="1" applyFill="1" applyBorder="1"/>
    <xf numFmtId="164" fontId="6" fillId="6" borderId="0" xfId="1" applyNumberFormat="1" applyFont="1" applyFill="1" applyBorder="1"/>
    <xf numFmtId="164" fontId="6" fillId="6" borderId="6" xfId="1" applyNumberFormat="1" applyFont="1" applyFill="1" applyBorder="1"/>
    <xf numFmtId="164" fontId="6" fillId="6" borderId="8" xfId="1" applyNumberFormat="1" applyFont="1" applyFill="1" applyBorder="1"/>
    <xf numFmtId="164" fontId="6" fillId="6" borderId="9" xfId="1" applyNumberFormat="1" applyFont="1" applyFill="1" applyBorder="1"/>
    <xf numFmtId="1" fontId="0" fillId="0" borderId="0" xfId="0" applyNumberFormat="1" applyFont="1"/>
    <xf numFmtId="164" fontId="22" fillId="0" borderId="0" xfId="1" applyNumberFormat="1" applyFont="1"/>
    <xf numFmtId="167" fontId="6" fillId="3" borderId="13" xfId="1" applyNumberFormat="1" applyFont="1" applyFill="1" applyBorder="1" applyAlignment="1">
      <alignment horizontal="left"/>
    </xf>
    <xf numFmtId="167" fontId="6" fillId="3" borderId="15" xfId="1" applyNumberFormat="1" applyFont="1" applyFill="1" applyBorder="1" applyAlignment="1">
      <alignment horizontal="left"/>
    </xf>
    <xf numFmtId="167" fontId="11" fillId="3" borderId="14" xfId="1" applyNumberFormat="1" applyFont="1" applyFill="1" applyBorder="1" applyAlignment="1">
      <alignment horizontal="left"/>
    </xf>
    <xf numFmtId="170" fontId="0" fillId="5" borderId="10" xfId="1" applyNumberFormat="1" applyFont="1" applyFill="1" applyBorder="1" applyAlignment="1">
      <alignment horizontal="center"/>
    </xf>
    <xf numFmtId="0" fontId="6" fillId="3" borderId="1" xfId="1" applyNumberFormat="1" applyFont="1" applyFill="1" applyBorder="1" applyAlignment="1">
      <alignment horizontal="center"/>
    </xf>
    <xf numFmtId="1" fontId="0" fillId="6" borderId="2" xfId="0" applyNumberFormat="1" applyFont="1" applyFill="1" applyBorder="1"/>
    <xf numFmtId="3" fontId="6" fillId="0" borderId="1" xfId="0" applyNumberFormat="1" applyFont="1" applyFill="1" applyBorder="1"/>
    <xf numFmtId="165" fontId="6" fillId="3" borderId="13" xfId="1" applyNumberFormat="1" applyFont="1" applyFill="1" applyBorder="1"/>
    <xf numFmtId="0" fontId="30" fillId="3" borderId="14" xfId="0" applyFont="1" applyFill="1" applyBorder="1" applyAlignment="1">
      <alignment horizontal="left"/>
    </xf>
    <xf numFmtId="165" fontId="6" fillId="3" borderId="15" xfId="1" applyNumberFormat="1" applyFont="1" applyFill="1" applyBorder="1" applyProtection="1">
      <protection locked="0"/>
    </xf>
    <xf numFmtId="0" fontId="6" fillId="3" borderId="15" xfId="0" applyFont="1" applyFill="1" applyBorder="1"/>
    <xf numFmtId="165" fontId="30" fillId="0" borderId="0" xfId="1" applyNumberFormat="1" applyFont="1" applyFill="1" applyBorder="1" applyProtection="1">
      <protection locked="0"/>
    </xf>
    <xf numFmtId="0" fontId="6" fillId="3" borderId="14" xfId="0" applyFont="1" applyFill="1" applyBorder="1"/>
    <xf numFmtId="0" fontId="19" fillId="3" borderId="0" xfId="0" applyFont="1" applyFill="1" applyBorder="1" applyAlignment="1">
      <alignment horizontal="center" vertical="center"/>
    </xf>
    <xf numFmtId="0" fontId="6" fillId="3" borderId="15" xfId="0" applyFont="1" applyFill="1" applyBorder="1" applyAlignment="1">
      <alignment horizontal="left"/>
    </xf>
    <xf numFmtId="165" fontId="30" fillId="0" borderId="0" xfId="1" applyNumberFormat="1" applyFont="1" applyFill="1" applyBorder="1"/>
    <xf numFmtId="164" fontId="0" fillId="0" borderId="0" xfId="1" applyNumberFormat="1" applyFont="1" applyFill="1" applyBorder="1"/>
    <xf numFmtId="0" fontId="0" fillId="0" borderId="0" xfId="0" applyAlignment="1">
      <alignment horizontal="right" vertical="center"/>
    </xf>
    <xf numFmtId="1" fontId="0" fillId="0" borderId="0" xfId="0" applyNumberFormat="1"/>
    <xf numFmtId="9" fontId="11" fillId="0" borderId="0" xfId="0" applyNumberFormat="1" applyFont="1" applyFill="1" applyBorder="1" applyAlignment="1">
      <alignment horizontal="center"/>
    </xf>
    <xf numFmtId="0" fontId="30" fillId="0" borderId="0" xfId="0" applyFont="1" applyFill="1" applyBorder="1"/>
    <xf numFmtId="0" fontId="19" fillId="0" borderId="0" xfId="0" applyFont="1" applyFill="1" applyBorder="1"/>
    <xf numFmtId="0" fontId="0" fillId="0" borderId="0" xfId="0" applyNumberFormat="1" applyFont="1" applyFill="1" applyBorder="1" applyAlignment="1">
      <alignment vertical="center" textRotation="90" wrapText="1"/>
    </xf>
    <xf numFmtId="0" fontId="11" fillId="3" borderId="13" xfId="0" applyFont="1" applyFill="1" applyBorder="1"/>
    <xf numFmtId="0" fontId="11" fillId="3" borderId="14" xfId="0" applyFont="1" applyFill="1" applyBorder="1"/>
    <xf numFmtId="0" fontId="11" fillId="0" borderId="19" xfId="0" applyFont="1" applyBorder="1"/>
    <xf numFmtId="0" fontId="6" fillId="0" borderId="18" xfId="0" applyFont="1" applyBorder="1"/>
    <xf numFmtId="0" fontId="6" fillId="0" borderId="17" xfId="0" applyFont="1" applyBorder="1"/>
    <xf numFmtId="0" fontId="2"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alignment wrapText="1"/>
    </xf>
    <xf numFmtId="0" fontId="2" fillId="0" borderId="0" xfId="0" applyFont="1" applyFill="1"/>
    <xf numFmtId="0" fontId="42" fillId="0" borderId="0" xfId="0" applyFont="1"/>
    <xf numFmtId="0" fontId="2" fillId="0" borderId="0" xfId="0" applyNumberFormat="1" applyFont="1" applyAlignment="1">
      <alignment horizontal="right" vertical="center"/>
    </xf>
    <xf numFmtId="0" fontId="35" fillId="0" borderId="0" xfId="0" applyFont="1" applyFill="1" applyBorder="1" applyAlignment="1">
      <alignment vertical="center" textRotation="90" wrapText="1"/>
    </xf>
    <xf numFmtId="49" fontId="34" fillId="0" borderId="13" xfId="0" applyNumberFormat="1" applyFont="1" applyFill="1" applyBorder="1" applyAlignment="1">
      <alignment horizontal="center"/>
    </xf>
    <xf numFmtId="49" fontId="34" fillId="0" borderId="15" xfId="0" applyNumberFormat="1" applyFont="1" applyFill="1" applyBorder="1" applyAlignment="1">
      <alignment horizontal="center"/>
    </xf>
    <xf numFmtId="49" fontId="34" fillId="0" borderId="14" xfId="0" applyNumberFormat="1" applyFont="1" applyFill="1" applyBorder="1" applyAlignment="1">
      <alignment horizontal="center"/>
    </xf>
    <xf numFmtId="0" fontId="43" fillId="0" borderId="0" xfId="93" applyFill="1" applyBorder="1"/>
    <xf numFmtId="9" fontId="6" fillId="2" borderId="1" xfId="2" applyFont="1" applyFill="1" applyBorder="1" applyAlignment="1">
      <alignment horizontal="center"/>
    </xf>
    <xf numFmtId="0" fontId="6" fillId="3" borderId="0" xfId="0" applyFont="1" applyFill="1" applyBorder="1"/>
    <xf numFmtId="0" fontId="0" fillId="3" borderId="0" xfId="0" applyFill="1"/>
    <xf numFmtId="0" fontId="38" fillId="3" borderId="0" xfId="0" applyFont="1" applyFill="1"/>
    <xf numFmtId="0" fontId="39" fillId="0" borderId="0" xfId="0" applyFont="1" applyFill="1"/>
    <xf numFmtId="1" fontId="0" fillId="0" borderId="2" xfId="0" applyNumberFormat="1" applyBorder="1"/>
    <xf numFmtId="1" fontId="0" fillId="0" borderId="3" xfId="0" applyNumberFormat="1" applyBorder="1"/>
    <xf numFmtId="1" fontId="0" fillId="0" borderId="5" xfId="0" applyNumberFormat="1" applyBorder="1"/>
    <xf numFmtId="1" fontId="0" fillId="0" borderId="0" xfId="0" applyNumberFormat="1" applyBorder="1"/>
    <xf numFmtId="1" fontId="0" fillId="0" borderId="7" xfId="0" applyNumberFormat="1" applyBorder="1"/>
    <xf numFmtId="1" fontId="0" fillId="0" borderId="8" xfId="0" applyNumberFormat="1" applyBorder="1"/>
    <xf numFmtId="0" fontId="6" fillId="3" borderId="1" xfId="0" applyFont="1" applyFill="1" applyBorder="1" applyAlignment="1">
      <alignment horizontal="center"/>
    </xf>
    <xf numFmtId="165" fontId="30" fillId="3" borderId="3" xfId="1" applyNumberFormat="1" applyFont="1" applyFill="1" applyBorder="1"/>
    <xf numFmtId="0" fontId="0" fillId="3" borderId="3" xfId="0" applyFont="1" applyFill="1" applyBorder="1"/>
    <xf numFmtId="164" fontId="6" fillId="3" borderId="3" xfId="1" applyNumberFormat="1" applyFont="1" applyFill="1" applyBorder="1"/>
    <xf numFmtId="165" fontId="30" fillId="3" borderId="5" xfId="1" applyNumberFormat="1" applyFont="1" applyFill="1" applyBorder="1"/>
    <xf numFmtId="165" fontId="30" fillId="3" borderId="0" xfId="1" applyNumberFormat="1" applyFont="1" applyFill="1" applyBorder="1"/>
    <xf numFmtId="0" fontId="0" fillId="3" borderId="0" xfId="0" applyFont="1" applyFill="1" applyBorder="1"/>
    <xf numFmtId="164" fontId="6" fillId="3" borderId="0" xfId="1" applyNumberFormat="1" applyFont="1" applyFill="1" applyBorder="1"/>
    <xf numFmtId="165" fontId="19" fillId="3" borderId="5" xfId="1" applyNumberFormat="1" applyFont="1" applyFill="1" applyBorder="1"/>
    <xf numFmtId="165" fontId="19" fillId="3" borderId="0" xfId="1" applyNumberFormat="1" applyFont="1" applyFill="1" applyBorder="1"/>
    <xf numFmtId="164" fontId="11" fillId="3" borderId="0" xfId="1" applyNumberFormat="1" applyFont="1" applyFill="1" applyBorder="1"/>
    <xf numFmtId="164" fontId="0" fillId="3" borderId="3" xfId="1" applyNumberFormat="1" applyFont="1" applyFill="1" applyBorder="1"/>
    <xf numFmtId="165" fontId="30" fillId="3" borderId="0" xfId="1" applyNumberFormat="1" applyFont="1" applyFill="1" applyBorder="1" applyProtection="1">
      <protection locked="0"/>
    </xf>
    <xf numFmtId="164" fontId="0" fillId="3" borderId="0" xfId="1" applyNumberFormat="1" applyFont="1" applyFill="1" applyBorder="1"/>
    <xf numFmtId="165" fontId="30" fillId="3" borderId="2" xfId="1" applyNumberFormat="1" applyFont="1" applyFill="1" applyBorder="1" applyProtection="1">
      <protection locked="0"/>
    </xf>
    <xf numFmtId="165" fontId="30" fillId="3" borderId="3" xfId="1" applyNumberFormat="1" applyFont="1" applyFill="1" applyBorder="1" applyProtection="1">
      <protection locked="0"/>
    </xf>
    <xf numFmtId="165" fontId="6" fillId="3" borderId="5" xfId="1" applyNumberFormat="1" applyFont="1" applyFill="1" applyBorder="1" applyProtection="1">
      <protection locked="0"/>
    </xf>
    <xf numFmtId="165" fontId="6" fillId="3" borderId="0" xfId="1" applyNumberFormat="1" applyFont="1" applyFill="1" applyBorder="1" applyProtection="1">
      <protection locked="0"/>
    </xf>
    <xf numFmtId="165" fontId="30" fillId="3" borderId="8" xfId="1" applyNumberFormat="1" applyFont="1" applyFill="1" applyBorder="1" applyProtection="1">
      <protection locked="0"/>
    </xf>
    <xf numFmtId="165" fontId="19" fillId="3" borderId="2" xfId="1" applyNumberFormat="1" applyFont="1" applyFill="1" applyBorder="1" applyProtection="1">
      <protection locked="0"/>
    </xf>
    <xf numFmtId="165" fontId="19" fillId="3" borderId="3" xfId="1" applyNumberFormat="1" applyFont="1" applyFill="1" applyBorder="1" applyProtection="1">
      <protection locked="0"/>
    </xf>
    <xf numFmtId="165" fontId="19" fillId="3" borderId="2" xfId="1" applyNumberFormat="1" applyFont="1" applyFill="1" applyBorder="1"/>
    <xf numFmtId="165" fontId="19" fillId="3" borderId="3" xfId="1" applyNumberFormat="1" applyFont="1" applyFill="1" applyBorder="1"/>
    <xf numFmtId="9" fontId="30" fillId="3" borderId="7" xfId="2" applyFont="1" applyFill="1" applyBorder="1"/>
    <xf numFmtId="9" fontId="30" fillId="3" borderId="8" xfId="2" applyFont="1" applyFill="1" applyBorder="1"/>
    <xf numFmtId="165" fontId="30" fillId="3" borderId="10" xfId="1" applyNumberFormat="1" applyFont="1" applyFill="1" applyBorder="1"/>
    <xf numFmtId="165" fontId="30" fillId="3" borderId="11" xfId="1" applyNumberFormat="1" applyFont="1" applyFill="1" applyBorder="1"/>
    <xf numFmtId="0" fontId="0" fillId="3" borderId="11" xfId="0" applyFont="1" applyFill="1" applyBorder="1"/>
    <xf numFmtId="164" fontId="0" fillId="3" borderId="11" xfId="1" applyNumberFormat="1" applyFont="1" applyFill="1" applyBorder="1"/>
    <xf numFmtId="9" fontId="30" fillId="3" borderId="5" xfId="2" applyFont="1" applyFill="1" applyBorder="1"/>
    <xf numFmtId="9" fontId="30" fillId="3" borderId="0" xfId="2" applyFont="1" applyFill="1" applyBorder="1"/>
    <xf numFmtId="165" fontId="30" fillId="3" borderId="8" xfId="1" applyNumberFormat="1" applyFont="1" applyFill="1" applyBorder="1"/>
    <xf numFmtId="165" fontId="30" fillId="3" borderId="5" xfId="1" applyNumberFormat="1" applyFont="1" applyFill="1" applyBorder="1" applyAlignment="1" applyProtection="1">
      <alignment horizontal="right"/>
      <protection locked="0"/>
    </xf>
    <xf numFmtId="165" fontId="30" fillId="3" borderId="0" xfId="1" applyNumberFormat="1" applyFont="1" applyFill="1" applyBorder="1" applyAlignment="1" applyProtection="1">
      <alignment horizontal="right"/>
      <protection locked="0"/>
    </xf>
    <xf numFmtId="0" fontId="2" fillId="7" borderId="1" xfId="0" applyFont="1" applyFill="1" applyBorder="1"/>
    <xf numFmtId="0" fontId="2" fillId="2" borderId="1" xfId="0" applyFont="1" applyFill="1" applyBorder="1"/>
    <xf numFmtId="0" fontId="6" fillId="0" borderId="1" xfId="0" applyFont="1" applyBorder="1"/>
    <xf numFmtId="1" fontId="6" fillId="3" borderId="0" xfId="0" applyNumberFormat="1" applyFont="1" applyFill="1" applyBorder="1"/>
    <xf numFmtId="0" fontId="2" fillId="0" borderId="0" xfId="0" quotePrefix="1" applyFont="1"/>
    <xf numFmtId="1" fontId="0" fillId="0" borderId="13" xfId="0" applyNumberFormat="1" applyBorder="1"/>
    <xf numFmtId="1" fontId="0" fillId="0" borderId="15" xfId="0" applyNumberFormat="1" applyBorder="1"/>
    <xf numFmtId="1" fontId="0" fillId="0" borderId="14" xfId="0" applyNumberFormat="1" applyBorder="1"/>
    <xf numFmtId="9" fontId="0" fillId="0" borderId="0" xfId="1" applyNumberFormat="1" applyFont="1" applyFill="1" applyBorder="1"/>
    <xf numFmtId="165" fontId="30" fillId="3" borderId="0" xfId="1" applyNumberFormat="1" applyFont="1" applyFill="1" applyBorder="1" applyAlignment="1" applyProtection="1">
      <protection locked="0"/>
    </xf>
    <xf numFmtId="1" fontId="6" fillId="2" borderId="13" xfId="0" applyNumberFormat="1" applyFont="1" applyFill="1" applyBorder="1" applyAlignment="1">
      <alignment horizontal="center"/>
    </xf>
    <xf numFmtId="1" fontId="6" fillId="2" borderId="15" xfId="0" applyNumberFormat="1" applyFont="1" applyFill="1" applyBorder="1" applyAlignment="1">
      <alignment horizontal="center"/>
    </xf>
    <xf numFmtId="1" fontId="6" fillId="2" borderId="14" xfId="0" applyNumberFormat="1" applyFont="1" applyFill="1" applyBorder="1" applyAlignment="1">
      <alignment horizontal="center"/>
    </xf>
    <xf numFmtId="1" fontId="41" fillId="0" borderId="0" xfId="0" applyNumberFormat="1" applyFont="1" applyFill="1" applyAlignment="1">
      <alignment horizontal="center"/>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2" fillId="2" borderId="1" xfId="0" applyFont="1" applyFill="1" applyBorder="1" applyAlignment="1">
      <alignment horizontal="center"/>
    </xf>
    <xf numFmtId="0" fontId="3" fillId="3" borderId="14" xfId="0" applyFont="1" applyFill="1" applyBorder="1" applyAlignment="1">
      <alignment horizontal="center" vertical="center" wrapText="1"/>
    </xf>
    <xf numFmtId="166" fontId="41" fillId="0" borderId="0" xfId="0" applyNumberFormat="1" applyFont="1" applyAlignment="1">
      <alignment horizontal="center"/>
    </xf>
    <xf numFmtId="0" fontId="34" fillId="3" borderId="9" xfId="0" applyFont="1" applyFill="1" applyBorder="1" applyAlignment="1">
      <alignment horizontal="center" vertical="center" wrapText="1"/>
    </xf>
    <xf numFmtId="0" fontId="34" fillId="3" borderId="12" xfId="0" applyFont="1" applyFill="1" applyBorder="1" applyAlignment="1">
      <alignment horizontal="center" vertical="center" wrapText="1"/>
    </xf>
    <xf numFmtId="1" fontId="46" fillId="0" borderId="1" xfId="0" applyNumberFormat="1" applyFont="1" applyBorder="1"/>
    <xf numFmtId="0" fontId="40" fillId="3" borderId="4" xfId="0" applyFont="1" applyFill="1" applyBorder="1" applyAlignment="1">
      <alignment horizontal="center" vertical="center" wrapText="1"/>
    </xf>
    <xf numFmtId="0" fontId="40" fillId="3" borderId="9"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4" fillId="3" borderId="37" xfId="0" applyFont="1" applyFill="1" applyBorder="1" applyAlignment="1">
      <alignment horizontal="center" vertical="center" wrapText="1"/>
    </xf>
    <xf numFmtId="17" fontId="0" fillId="2" borderId="38" xfId="0" applyNumberFormat="1" applyFill="1" applyBorder="1" applyAlignment="1">
      <alignment horizontal="center" vertical="center"/>
    </xf>
    <xf numFmtId="0" fontId="34" fillId="3" borderId="39" xfId="0" applyFont="1" applyFill="1" applyBorder="1" applyAlignment="1">
      <alignment horizontal="center" vertical="center" wrapText="1"/>
    </xf>
    <xf numFmtId="0" fontId="6" fillId="3" borderId="40" xfId="0" applyFont="1" applyFill="1" applyBorder="1" applyAlignment="1">
      <alignment horizontal="center" vertical="center"/>
    </xf>
    <xf numFmtId="17" fontId="2" fillId="2" borderId="40" xfId="0" applyNumberFormat="1" applyFont="1" applyFill="1" applyBorder="1" applyAlignment="1">
      <alignment horizontal="center" vertical="center"/>
    </xf>
    <xf numFmtId="17" fontId="2" fillId="2" borderId="41" xfId="0" applyNumberFormat="1" applyFont="1" applyFill="1" applyBorder="1" applyAlignment="1">
      <alignment horizontal="center" vertical="center"/>
    </xf>
    <xf numFmtId="49" fontId="34" fillId="2" borderId="42" xfId="0" applyNumberFormat="1" applyFont="1" applyFill="1" applyBorder="1" applyAlignment="1">
      <alignment horizontal="center"/>
    </xf>
    <xf numFmtId="1" fontId="6" fillId="2" borderId="43" xfId="0" applyNumberFormat="1" applyFont="1" applyFill="1" applyBorder="1" applyAlignment="1">
      <alignment horizontal="center"/>
    </xf>
    <xf numFmtId="49" fontId="34" fillId="2" borderId="44" xfId="0" applyNumberFormat="1" applyFont="1" applyFill="1" applyBorder="1" applyAlignment="1">
      <alignment horizontal="center"/>
    </xf>
    <xf numFmtId="1" fontId="6" fillId="2" borderId="45" xfId="0" applyNumberFormat="1" applyFont="1" applyFill="1" applyBorder="1" applyAlignment="1">
      <alignment horizontal="center"/>
    </xf>
    <xf numFmtId="49" fontId="34" fillId="2" borderId="46" xfId="0" applyNumberFormat="1" applyFont="1" applyFill="1" applyBorder="1" applyAlignment="1">
      <alignment horizontal="center"/>
    </xf>
    <xf numFmtId="1" fontId="6" fillId="2" borderId="47" xfId="0" applyNumberFormat="1" applyFont="1" applyFill="1" applyBorder="1" applyAlignment="1">
      <alignment horizontal="center"/>
    </xf>
    <xf numFmtId="49" fontId="34" fillId="3" borderId="39" xfId="0" applyNumberFormat="1" applyFont="1" applyFill="1" applyBorder="1" applyAlignment="1">
      <alignment horizontal="center"/>
    </xf>
    <xf numFmtId="0" fontId="0" fillId="3" borderId="16" xfId="0" applyFill="1" applyBorder="1"/>
    <xf numFmtId="9" fontId="6" fillId="2" borderId="40" xfId="2" applyFont="1" applyFill="1" applyBorder="1" applyAlignment="1">
      <alignment horizontal="center"/>
    </xf>
    <xf numFmtId="0" fontId="0" fillId="3" borderId="48" xfId="0" applyFill="1" applyBorder="1"/>
    <xf numFmtId="17" fontId="0" fillId="5" borderId="51" xfId="0" applyNumberFormat="1" applyFill="1" applyBorder="1" applyAlignment="1">
      <alignment horizontal="center"/>
    </xf>
    <xf numFmtId="1" fontId="6" fillId="2" borderId="16" xfId="0" applyNumberFormat="1" applyFont="1" applyFill="1" applyBorder="1" applyAlignment="1">
      <alignment horizontal="center"/>
    </xf>
    <xf numFmtId="0" fontId="6" fillId="3" borderId="44" xfId="0" applyFont="1" applyFill="1" applyBorder="1" applyAlignment="1">
      <alignment horizontal="center"/>
    </xf>
    <xf numFmtId="0" fontId="6" fillId="2" borderId="40" xfId="0" applyFont="1" applyFill="1" applyBorder="1" applyAlignment="1">
      <alignment horizontal="center" vertical="center"/>
    </xf>
    <xf numFmtId="0" fontId="0" fillId="2" borderId="16" xfId="0" applyFill="1" applyBorder="1"/>
    <xf numFmtId="0" fontId="2" fillId="3" borderId="40" xfId="0" applyFont="1" applyFill="1" applyBorder="1" applyAlignment="1">
      <alignment horizontal="center" vertical="center"/>
    </xf>
    <xf numFmtId="0" fontId="0" fillId="3" borderId="49" xfId="0" applyFont="1" applyFill="1" applyBorder="1"/>
    <xf numFmtId="165" fontId="19" fillId="3" borderId="31" xfId="1" applyNumberFormat="1" applyFont="1" applyFill="1" applyBorder="1" applyAlignment="1">
      <alignment horizontal="center"/>
    </xf>
    <xf numFmtId="9" fontId="11" fillId="3" borderId="31" xfId="0" applyNumberFormat="1" applyFont="1" applyFill="1" applyBorder="1" applyAlignment="1">
      <alignment horizontal="center"/>
    </xf>
    <xf numFmtId="0" fontId="0" fillId="3" borderId="59" xfId="0" applyFont="1" applyFill="1" applyBorder="1"/>
    <xf numFmtId="164" fontId="0" fillId="3" borderId="59" xfId="1" applyNumberFormat="1" applyFont="1" applyFill="1" applyBorder="1"/>
    <xf numFmtId="164" fontId="0" fillId="0" borderId="59" xfId="1" applyNumberFormat="1" applyFont="1" applyBorder="1"/>
    <xf numFmtId="0" fontId="4" fillId="3" borderId="0" xfId="0" applyFont="1" applyFill="1" applyBorder="1" applyAlignment="1">
      <alignment horizontal="center"/>
    </xf>
    <xf numFmtId="0" fontId="30" fillId="3" borderId="63" xfId="0" applyFont="1" applyFill="1" applyBorder="1"/>
    <xf numFmtId="165" fontId="30" fillId="3" borderId="16" xfId="1" applyNumberFormat="1" applyFont="1" applyFill="1" applyBorder="1"/>
    <xf numFmtId="165" fontId="30" fillId="3" borderId="48" xfId="1" applyNumberFormat="1" applyFont="1" applyFill="1" applyBorder="1"/>
    <xf numFmtId="165" fontId="30" fillId="3" borderId="42" xfId="1" applyNumberFormat="1" applyFont="1" applyFill="1" applyBorder="1"/>
    <xf numFmtId="165" fontId="30" fillId="3" borderId="43" xfId="1" applyNumberFormat="1" applyFont="1" applyFill="1" applyBorder="1" applyAlignment="1">
      <alignment horizontal="right" vertical="center"/>
    </xf>
    <xf numFmtId="165" fontId="30" fillId="3" borderId="44" xfId="1" applyNumberFormat="1" applyFont="1" applyFill="1" applyBorder="1" applyProtection="1">
      <protection locked="0"/>
    </xf>
    <xf numFmtId="172" fontId="30" fillId="3" borderId="45" xfId="2" applyNumberFormat="1" applyFont="1" applyFill="1" applyBorder="1"/>
    <xf numFmtId="165" fontId="30" fillId="3" borderId="54" xfId="1" applyNumberFormat="1" applyFont="1" applyFill="1" applyBorder="1"/>
    <xf numFmtId="165" fontId="30" fillId="3" borderId="43" xfId="1" applyNumberFormat="1" applyFont="1" applyFill="1" applyBorder="1" applyAlignment="1">
      <alignment horizontal="right"/>
    </xf>
    <xf numFmtId="0" fontId="43" fillId="0" borderId="0" xfId="93"/>
    <xf numFmtId="167" fontId="6" fillId="5" borderId="10" xfId="1" applyNumberFormat="1" applyFont="1" applyFill="1" applyBorder="1" applyAlignment="1">
      <alignment horizontal="center"/>
    </xf>
    <xf numFmtId="0" fontId="0" fillId="0" borderId="44" xfId="0" applyBorder="1"/>
    <xf numFmtId="0" fontId="0" fillId="0" borderId="65" xfId="0" applyBorder="1"/>
    <xf numFmtId="167" fontId="6" fillId="3" borderId="10" xfId="1" applyNumberFormat="1" applyFont="1" applyFill="1" applyBorder="1" applyAlignment="1">
      <alignment horizontal="center"/>
    </xf>
    <xf numFmtId="0" fontId="0" fillId="0" borderId="65" xfId="0" applyFont="1" applyBorder="1"/>
    <xf numFmtId="165" fontId="0" fillId="0" borderId="65" xfId="0" applyNumberFormat="1" applyFont="1" applyBorder="1"/>
    <xf numFmtId="17" fontId="6" fillId="5" borderId="51" xfId="0" applyNumberFormat="1" applyFont="1" applyFill="1" applyBorder="1" applyAlignment="1">
      <alignment horizontal="center"/>
    </xf>
    <xf numFmtId="0" fontId="6" fillId="3" borderId="16" xfId="0" applyFont="1" applyFill="1" applyBorder="1"/>
    <xf numFmtId="17" fontId="6" fillId="5" borderId="31" xfId="0" applyNumberFormat="1" applyFont="1" applyFill="1" applyBorder="1" applyAlignment="1">
      <alignment horizontal="center"/>
    </xf>
    <xf numFmtId="165" fontId="19" fillId="0" borderId="0" xfId="1" applyNumberFormat="1" applyFont="1" applyFill="1" applyBorder="1" applyAlignment="1">
      <alignment horizontal="left"/>
    </xf>
    <xf numFmtId="0" fontId="2" fillId="2" borderId="3" xfId="0" applyFont="1" applyFill="1" applyBorder="1"/>
    <xf numFmtId="0" fontId="2" fillId="2" borderId="0" xfId="0" applyFont="1" applyFill="1" applyBorder="1"/>
    <xf numFmtId="0" fontId="2" fillId="2" borderId="16" xfId="0" applyFont="1" applyFill="1" applyBorder="1"/>
    <xf numFmtId="49" fontId="6" fillId="0" borderId="2" xfId="0" applyNumberFormat="1" applyFont="1" applyBorder="1" applyAlignment="1">
      <alignment horizontal="center"/>
    </xf>
    <xf numFmtId="49" fontId="6" fillId="0" borderId="5" xfId="0" applyNumberFormat="1" applyFont="1" applyBorder="1" applyAlignment="1">
      <alignment horizontal="center"/>
    </xf>
    <xf numFmtId="0" fontId="4" fillId="0" borderId="0" xfId="0" applyFont="1" applyAlignment="1">
      <alignment horizontal="center"/>
    </xf>
    <xf numFmtId="0" fontId="2" fillId="0" borderId="0" xfId="0" quotePrefix="1" applyFont="1" applyAlignment="1">
      <alignment horizontal="center" vertical="center"/>
    </xf>
    <xf numFmtId="15" fontId="0" fillId="0" borderId="0" xfId="0" applyNumberFormat="1" applyAlignment="1">
      <alignment horizontal="center" vertical="center"/>
    </xf>
    <xf numFmtId="15" fontId="47" fillId="0" borderId="0" xfId="0" quotePrefix="1" applyNumberFormat="1" applyFont="1" applyFill="1" applyAlignment="1">
      <alignment horizontal="left"/>
    </xf>
    <xf numFmtId="0" fontId="47" fillId="0" borderId="0" xfId="0" quotePrefix="1" applyNumberFormat="1" applyFont="1" applyFill="1" applyAlignment="1">
      <alignment horizontal="left"/>
    </xf>
    <xf numFmtId="0" fontId="3" fillId="3" borderId="3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6" xfId="0" applyFont="1" applyFill="1" applyBorder="1" applyAlignment="1">
      <alignment horizontal="center" vertical="center" wrapText="1"/>
    </xf>
    <xf numFmtId="171" fontId="3" fillId="3" borderId="31" xfId="0" applyNumberFormat="1" applyFont="1" applyFill="1" applyBorder="1" applyAlignment="1">
      <alignment horizontal="center" vertical="center" wrapText="1"/>
    </xf>
    <xf numFmtId="171" fontId="3" fillId="3" borderId="1" xfId="0" applyNumberFormat="1" applyFont="1" applyFill="1" applyBorder="1" applyAlignment="1">
      <alignment horizontal="center" vertical="center" wrapText="1"/>
    </xf>
    <xf numFmtId="0" fontId="35" fillId="0" borderId="2" xfId="0" applyFont="1" applyBorder="1" applyAlignment="1">
      <alignment horizontal="center" vertical="center" textRotation="90" wrapText="1"/>
    </xf>
    <xf numFmtId="0" fontId="35" fillId="0" borderId="5" xfId="0" applyFont="1" applyBorder="1" applyAlignment="1">
      <alignment horizontal="center" vertical="center" textRotation="90" wrapText="1"/>
    </xf>
    <xf numFmtId="0" fontId="35" fillId="0" borderId="7" xfId="0" applyFont="1" applyBorder="1" applyAlignment="1">
      <alignment horizontal="center" vertical="center" textRotation="90" wrapText="1"/>
    </xf>
    <xf numFmtId="0" fontId="2" fillId="3" borderId="30" xfId="0" applyFont="1" applyFill="1" applyBorder="1" applyAlignment="1">
      <alignment horizontal="center" vertical="center"/>
    </xf>
    <xf numFmtId="0" fontId="2" fillId="3" borderId="35" xfId="0" applyFont="1" applyFill="1" applyBorder="1" applyAlignment="1">
      <alignment horizontal="center" vertical="center"/>
    </xf>
    <xf numFmtId="0" fontId="44" fillId="3" borderId="30" xfId="0" applyFont="1" applyFill="1" applyBorder="1" applyAlignment="1">
      <alignment horizontal="center" vertical="center" wrapText="1"/>
    </xf>
    <xf numFmtId="0" fontId="44" fillId="3" borderId="35" xfId="0" applyFont="1" applyFill="1" applyBorder="1" applyAlignment="1">
      <alignment horizontal="center" vertical="center" wrapText="1"/>
    </xf>
    <xf numFmtId="0" fontId="2" fillId="5" borderId="11" xfId="0" applyFont="1" applyFill="1" applyBorder="1" applyAlignment="1">
      <alignment horizontal="center"/>
    </xf>
    <xf numFmtId="0" fontId="0" fillId="5" borderId="11" xfId="0" applyFill="1" applyBorder="1" applyAlignment="1">
      <alignment horizontal="center"/>
    </xf>
    <xf numFmtId="0" fontId="2" fillId="5" borderId="52" xfId="0" applyFont="1" applyFill="1" applyBorder="1" applyAlignment="1">
      <alignment horizontal="center"/>
    </xf>
    <xf numFmtId="0" fontId="0" fillId="5" borderId="52" xfId="0" applyFill="1" applyBorder="1" applyAlignment="1">
      <alignment horizontal="center"/>
    </xf>
    <xf numFmtId="0" fontId="6" fillId="3" borderId="42" xfId="0" applyFont="1" applyFill="1" applyBorder="1" applyAlignment="1">
      <alignment horizontal="center" wrapText="1"/>
    </xf>
    <xf numFmtId="0" fontId="6" fillId="3" borderId="4" xfId="0" applyFont="1" applyFill="1" applyBorder="1" applyAlignment="1">
      <alignment horizont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167" fontId="6" fillId="2" borderId="42" xfId="1" applyNumberFormat="1" applyFont="1" applyFill="1" applyBorder="1" applyAlignment="1">
      <alignment horizontal="center"/>
    </xf>
    <xf numFmtId="167" fontId="6" fillId="2" borderId="4" xfId="1" applyNumberFormat="1" applyFont="1" applyFill="1" applyBorder="1" applyAlignment="1">
      <alignment horizontal="center"/>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9" xfId="0" applyFont="1" applyFill="1" applyBorder="1" applyAlignment="1">
      <alignment horizontal="center" vertical="center" wrapText="1"/>
    </xf>
    <xf numFmtId="1" fontId="2" fillId="4" borderId="1" xfId="0" applyNumberFormat="1" applyFont="1" applyFill="1" applyBorder="1" applyAlignment="1">
      <alignment horizontal="center" vertical="center"/>
    </xf>
    <xf numFmtId="0" fontId="6" fillId="2" borderId="46" xfId="0" applyFont="1" applyFill="1" applyBorder="1" applyAlignment="1">
      <alignment horizontal="center"/>
    </xf>
    <xf numFmtId="0" fontId="6" fillId="2" borderId="9" xfId="0" applyFont="1" applyFill="1" applyBorder="1" applyAlignment="1">
      <alignment horizontal="center"/>
    </xf>
    <xf numFmtId="0" fontId="6" fillId="3" borderId="42" xfId="0" applyFont="1" applyFill="1" applyBorder="1" applyAlignment="1">
      <alignment horizontal="center"/>
    </xf>
    <xf numFmtId="0" fontId="6" fillId="3" borderId="4" xfId="0" applyFont="1" applyFill="1" applyBorder="1" applyAlignment="1">
      <alignment horizontal="center"/>
    </xf>
    <xf numFmtId="0" fontId="6" fillId="3" borderId="54" xfId="0" applyFont="1" applyFill="1" applyBorder="1" applyAlignment="1">
      <alignment horizontal="center"/>
    </xf>
    <xf numFmtId="0" fontId="6" fillId="3" borderId="55" xfId="0" applyFont="1" applyFill="1" applyBorder="1" applyAlignment="1">
      <alignment horizontal="center"/>
    </xf>
    <xf numFmtId="167" fontId="6" fillId="2" borderId="44" xfId="1" applyNumberFormat="1" applyFont="1" applyFill="1" applyBorder="1" applyAlignment="1">
      <alignment horizontal="center"/>
    </xf>
    <xf numFmtId="167" fontId="6" fillId="2" borderId="6" xfId="1" applyNumberFormat="1" applyFont="1" applyFill="1" applyBorder="1" applyAlignment="1">
      <alignment horizontal="center"/>
    </xf>
    <xf numFmtId="167" fontId="6" fillId="2" borderId="54" xfId="1" applyNumberFormat="1" applyFont="1" applyFill="1" applyBorder="1" applyAlignment="1">
      <alignment horizontal="center"/>
    </xf>
    <xf numFmtId="167" fontId="6" fillId="2" borderId="55" xfId="1" applyNumberFormat="1" applyFont="1" applyFill="1" applyBorder="1" applyAlignment="1">
      <alignment horizontal="center"/>
    </xf>
    <xf numFmtId="0" fontId="6" fillId="3" borderId="46" xfId="0" applyFont="1" applyFill="1" applyBorder="1" applyAlignment="1">
      <alignment horizontal="center"/>
    </xf>
    <xf numFmtId="0" fontId="6" fillId="3" borderId="9" xfId="0" applyFont="1" applyFill="1" applyBorder="1" applyAlignment="1">
      <alignment horizontal="center"/>
    </xf>
    <xf numFmtId="0" fontId="6" fillId="2" borderId="42" xfId="0" applyFont="1" applyFill="1" applyBorder="1" applyAlignment="1">
      <alignment horizontal="center"/>
    </xf>
    <xf numFmtId="0" fontId="6" fillId="2" borderId="4" xfId="0" applyFont="1" applyFill="1" applyBorder="1" applyAlignment="1">
      <alignment horizontal="center"/>
    </xf>
    <xf numFmtId="0" fontId="6" fillId="2" borderId="44" xfId="0" applyFont="1" applyFill="1" applyBorder="1" applyAlignment="1">
      <alignment horizontal="center"/>
    </xf>
    <xf numFmtId="0" fontId="6" fillId="2" borderId="6" xfId="0" applyFont="1" applyFill="1" applyBorder="1" applyAlignment="1">
      <alignment horizontal="center"/>
    </xf>
    <xf numFmtId="0" fontId="6" fillId="5" borderId="52" xfId="0" applyFont="1" applyFill="1" applyBorder="1" applyAlignment="1">
      <alignment horizont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56"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1" xfId="0" applyFont="1" applyFill="1" applyBorder="1" applyAlignment="1">
      <alignment horizontal="center" vertical="center"/>
    </xf>
    <xf numFmtId="0" fontId="6" fillId="5" borderId="31" xfId="0" applyFont="1" applyFill="1" applyBorder="1" applyAlignment="1">
      <alignment horizontal="center"/>
    </xf>
    <xf numFmtId="0" fontId="6" fillId="5" borderId="51" xfId="0" applyFont="1" applyFill="1" applyBorder="1" applyAlignment="1">
      <alignment horizontal="center"/>
    </xf>
    <xf numFmtId="0" fontId="35" fillId="0" borderId="2" xfId="0" applyFont="1" applyBorder="1" applyAlignment="1">
      <alignment horizontal="center" vertical="center" textRotation="90"/>
    </xf>
    <xf numFmtId="0" fontId="35" fillId="0" borderId="5" xfId="0" applyFont="1" applyBorder="1" applyAlignment="1">
      <alignment horizontal="center" vertical="center" textRotation="90"/>
    </xf>
    <xf numFmtId="0" fontId="35" fillId="0" borderId="7" xfId="0" applyFont="1" applyBorder="1" applyAlignment="1">
      <alignment horizontal="center" vertical="center" textRotation="90"/>
    </xf>
    <xf numFmtId="166" fontId="6" fillId="2" borderId="42" xfId="0" applyNumberFormat="1" applyFont="1" applyFill="1" applyBorder="1" applyAlignment="1">
      <alignment horizontal="center"/>
    </xf>
    <xf numFmtId="166" fontId="6" fillId="2" borderId="4" xfId="0" applyNumberFormat="1" applyFont="1" applyFill="1" applyBorder="1" applyAlignment="1">
      <alignment horizontal="center"/>
    </xf>
    <xf numFmtId="166" fontId="6" fillId="2" borderId="46" xfId="0" applyNumberFormat="1" applyFont="1" applyFill="1" applyBorder="1" applyAlignment="1">
      <alignment horizontal="center"/>
    </xf>
    <xf numFmtId="166" fontId="6" fillId="2" borderId="9" xfId="0" applyNumberFormat="1" applyFont="1" applyFill="1" applyBorder="1" applyAlignment="1">
      <alignment horizontal="center"/>
    </xf>
    <xf numFmtId="0" fontId="6" fillId="3" borderId="3" xfId="0" applyFont="1" applyFill="1" applyBorder="1" applyAlignment="1">
      <alignment horizontal="center"/>
    </xf>
    <xf numFmtId="0" fontId="6" fillId="3" borderId="57" xfId="0" applyFont="1" applyFill="1" applyBorder="1" applyAlignment="1">
      <alignment horizontal="center"/>
    </xf>
    <xf numFmtId="0" fontId="6" fillId="3" borderId="58" xfId="0" applyFont="1" applyFill="1" applyBorder="1" applyAlignment="1">
      <alignment horizontal="center"/>
    </xf>
    <xf numFmtId="49" fontId="6" fillId="3" borderId="42" xfId="0" applyNumberFormat="1" applyFont="1" applyFill="1" applyBorder="1" applyAlignment="1">
      <alignment horizontal="center"/>
    </xf>
    <xf numFmtId="49" fontId="6" fillId="3" borderId="44" xfId="0" applyNumberFormat="1" applyFont="1" applyFill="1" applyBorder="1" applyAlignment="1">
      <alignment horizontal="center"/>
    </xf>
    <xf numFmtId="0" fontId="6" fillId="3" borderId="6" xfId="0" applyFont="1" applyFill="1" applyBorder="1" applyAlignment="1">
      <alignment horizontal="center"/>
    </xf>
    <xf numFmtId="49" fontId="6" fillId="3" borderId="54" xfId="0" applyNumberFormat="1" applyFont="1" applyFill="1" applyBorder="1" applyAlignment="1">
      <alignment horizontal="center"/>
    </xf>
    <xf numFmtId="0" fontId="2" fillId="3" borderId="13" xfId="0" applyFont="1" applyFill="1" applyBorder="1" applyAlignment="1">
      <alignment horizontal="center" vertical="center"/>
    </xf>
    <xf numFmtId="0" fontId="2" fillId="3" borderId="15" xfId="0" applyFont="1" applyFill="1" applyBorder="1" applyAlignment="1">
      <alignment horizontal="center" vertical="center"/>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5" borderId="12" xfId="0" applyFont="1" applyFill="1" applyBorder="1" applyAlignment="1">
      <alignment horizontal="center"/>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5" borderId="12" xfId="0" applyFill="1" applyBorder="1" applyAlignment="1">
      <alignment horizont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167" fontId="6" fillId="0" borderId="13" xfId="1" applyNumberFormat="1" applyFont="1" applyFill="1" applyBorder="1" applyAlignment="1">
      <alignment horizontal="center" vertical="center"/>
    </xf>
    <xf numFmtId="167" fontId="6" fillId="0" borderId="15" xfId="1" applyNumberFormat="1" applyFont="1" applyFill="1" applyBorder="1" applyAlignment="1">
      <alignment horizontal="center" vertical="center"/>
    </xf>
    <xf numFmtId="167" fontId="6" fillId="0" borderId="14" xfId="1" applyNumberFormat="1" applyFont="1" applyFill="1" applyBorder="1" applyAlignment="1">
      <alignment horizontal="center" vertical="center"/>
    </xf>
    <xf numFmtId="0" fontId="6" fillId="3" borderId="2" xfId="0" applyFont="1" applyFill="1" applyBorder="1" applyAlignment="1">
      <alignment horizontal="center" wrapText="1"/>
    </xf>
    <xf numFmtId="0" fontId="0" fillId="3" borderId="60" xfId="0" applyFont="1" applyFill="1" applyBorder="1" applyAlignment="1">
      <alignment horizontal="center" vertical="center" textRotation="90"/>
    </xf>
    <xf numFmtId="0" fontId="0" fillId="3" borderId="61" xfId="0" applyFont="1" applyFill="1" applyBorder="1" applyAlignment="1">
      <alignment horizontal="center" vertical="center" textRotation="90"/>
    </xf>
    <xf numFmtId="0" fontId="0" fillId="3" borderId="60" xfId="0" applyNumberFormat="1" applyFont="1" applyFill="1" applyBorder="1" applyAlignment="1">
      <alignment horizontal="center" vertical="center" textRotation="90" wrapText="1"/>
    </xf>
    <xf numFmtId="0" fontId="0" fillId="3" borderId="61" xfId="0" applyNumberFormat="1" applyFont="1" applyFill="1" applyBorder="1" applyAlignment="1">
      <alignment horizontal="center" vertical="center" textRotation="90" wrapText="1"/>
    </xf>
    <xf numFmtId="0" fontId="0" fillId="3" borderId="62" xfId="0" applyNumberFormat="1" applyFont="1" applyFill="1" applyBorder="1" applyAlignment="1">
      <alignment horizontal="center" vertical="center" textRotation="90" wrapTex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63" xfId="0" applyFont="1" applyFill="1" applyBorder="1" applyAlignment="1">
      <alignment horizontal="center" vertical="center"/>
    </xf>
    <xf numFmtId="164" fontId="19" fillId="3" borderId="64" xfId="1" applyNumberFormat="1" applyFont="1" applyFill="1" applyBorder="1" applyAlignment="1">
      <alignment horizontal="center"/>
    </xf>
    <xf numFmtId="164" fontId="19" fillId="3" borderId="53" xfId="1" applyNumberFormat="1" applyFont="1" applyFill="1" applyBorder="1" applyAlignment="1">
      <alignment horizontal="center"/>
    </xf>
    <xf numFmtId="1" fontId="2" fillId="4" borderId="10" xfId="0" applyNumberFormat="1" applyFont="1" applyFill="1" applyBorder="1" applyAlignment="1">
      <alignment horizontal="center" vertical="center"/>
    </xf>
    <xf numFmtId="1" fontId="2" fillId="4" borderId="11" xfId="0" applyNumberFormat="1" applyFont="1" applyFill="1" applyBorder="1" applyAlignment="1">
      <alignment horizontal="center" vertical="center"/>
    </xf>
    <xf numFmtId="1" fontId="2" fillId="4" borderId="12" xfId="0" applyNumberFormat="1" applyFont="1" applyFill="1" applyBorder="1" applyAlignment="1">
      <alignment horizontal="center" vertical="center"/>
    </xf>
    <xf numFmtId="164" fontId="2" fillId="5" borderId="11" xfId="1" applyNumberFormat="1" applyFont="1" applyFill="1" applyBorder="1" applyAlignment="1">
      <alignment horizontal="center"/>
    </xf>
    <xf numFmtId="164" fontId="2" fillId="5" borderId="12" xfId="1" applyNumberFormat="1" applyFont="1" applyFill="1" applyBorder="1" applyAlignment="1">
      <alignment horizontal="center"/>
    </xf>
  </cellXfs>
  <cellStyles count="94">
    <cellStyle name="Comma" xfId="1" builtinId="3"/>
    <cellStyle name="Comma 2" xfId="3"/>
    <cellStyle name="Comma 3" xfId="7"/>
    <cellStyle name="Currency 2" xfId="8"/>
    <cellStyle name="Euro" xfId="37"/>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Hyperlink" xfId="93" builtinId="8"/>
    <cellStyle name="Normal" xfId="0" builtinId="0"/>
    <cellStyle name="Normal 2" xfId="4"/>
    <cellStyle name="Normal 3" xfId="6"/>
    <cellStyle name="Percent" xfId="2" builtinId="5"/>
    <cellStyle name="Percent 2" xfId="5"/>
    <cellStyle name="Percent 3" xfId="36"/>
  </cellStyles>
  <dxfs count="85">
    <dxf>
      <fill>
        <patternFill>
          <bgColor rgb="FFFFFF00"/>
        </patternFill>
      </fill>
    </dxf>
    <dxf>
      <font>
        <color theme="0"/>
      </font>
    </dxf>
    <dxf>
      <fill>
        <patternFill>
          <bgColor rgb="FFFF99CC"/>
        </patternFill>
      </fill>
    </dxf>
    <dxf>
      <fill>
        <patternFill>
          <bgColor rgb="FFFFFF00"/>
        </patternFill>
      </fill>
    </dxf>
    <dxf>
      <font>
        <color theme="0"/>
      </font>
    </dxf>
    <dxf>
      <fill>
        <patternFill>
          <bgColor rgb="FFFF99CC"/>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ont>
        <color theme="0"/>
      </font>
    </dxf>
    <dxf>
      <fill>
        <patternFill>
          <bgColor rgb="FFFF99CC"/>
        </patternFill>
      </fill>
    </dxf>
    <dxf>
      <fill>
        <patternFill>
          <bgColor theme="0" tint="-0.14996795556505021"/>
        </patternFill>
      </fill>
    </dxf>
    <dxf>
      <fill>
        <patternFill>
          <bgColor theme="0" tint="-0.14996795556505021"/>
        </patternFill>
      </fill>
    </dxf>
    <dxf>
      <fill>
        <patternFill>
          <bgColor rgb="FFFFFF00"/>
        </patternFill>
      </fill>
    </dxf>
    <dxf>
      <font>
        <color theme="0"/>
      </font>
    </dxf>
    <dxf>
      <fill>
        <patternFill>
          <bgColor rgb="FFFF99CC"/>
        </patternFill>
      </fill>
    </dxf>
    <dxf>
      <fill>
        <patternFill>
          <bgColor rgb="FFFFFF00"/>
        </patternFill>
      </fill>
    </dxf>
    <dxf>
      <font>
        <color theme="0"/>
      </font>
    </dxf>
    <dxf>
      <fill>
        <patternFill>
          <bgColor rgb="FFFF99CC"/>
        </patternFill>
      </fill>
    </dxf>
    <dxf>
      <font>
        <color theme="0"/>
      </font>
      <fill>
        <patternFill patternType="none">
          <bgColor auto="1"/>
        </patternFill>
      </fill>
    </dxf>
    <dxf>
      <fill>
        <patternFill>
          <bgColor rgb="FFFFFF00"/>
        </patternFill>
      </fill>
    </dxf>
    <dxf>
      <font>
        <color theme="0"/>
      </font>
    </dxf>
    <dxf>
      <fill>
        <patternFill>
          <bgColor rgb="FFFF99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00"/>
        </patternFill>
      </fill>
    </dxf>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ont>
        <color theme="0"/>
      </font>
    </dxf>
    <dxf>
      <fill>
        <patternFill>
          <bgColor rgb="FFFF99CC"/>
        </patternFill>
      </fill>
    </dxf>
    <dxf>
      <fill>
        <patternFill>
          <bgColor rgb="FFFFFF00"/>
        </patternFill>
      </fill>
    </dxf>
    <dxf>
      <font>
        <color theme="0"/>
      </font>
    </dxf>
    <dxf>
      <fill>
        <patternFill>
          <bgColor rgb="FFFF99CC"/>
        </patternFill>
      </fill>
    </dxf>
    <dxf>
      <fill>
        <patternFill>
          <bgColor rgb="FFFFFF00"/>
        </patternFill>
      </fill>
    </dxf>
    <dxf>
      <font>
        <color theme="0"/>
      </font>
    </dxf>
    <dxf>
      <fill>
        <patternFill>
          <bgColor rgb="FFFF99CC"/>
        </patternFill>
      </fill>
    </dxf>
    <dxf>
      <fill>
        <patternFill>
          <bgColor rgb="FFFFFF00"/>
        </patternFill>
      </fill>
    </dxf>
    <dxf>
      <font>
        <color theme="0"/>
      </font>
    </dxf>
    <dxf>
      <fill>
        <patternFill>
          <bgColor rgb="FFFF99CC"/>
        </patternFill>
      </fill>
    </dxf>
    <dxf>
      <fill>
        <patternFill>
          <bgColor rgb="FFFFFF00"/>
        </patternFill>
      </fill>
    </dxf>
    <dxf>
      <font>
        <color theme="0"/>
      </font>
    </dxf>
    <dxf>
      <fill>
        <patternFill>
          <bgColor rgb="FFFF99CC"/>
        </patternFill>
      </fill>
    </dxf>
    <dxf>
      <fill>
        <patternFill>
          <bgColor theme="0" tint="-0.14996795556505021"/>
        </patternFill>
      </fill>
    </dxf>
    <dxf>
      <fill>
        <patternFill>
          <bgColor rgb="FFFFFF00"/>
        </patternFill>
      </fill>
    </dxf>
    <dxf>
      <font>
        <color theme="0"/>
      </font>
    </dxf>
    <dxf>
      <fill>
        <patternFill>
          <bgColor rgb="FFFF99CC"/>
        </patternFill>
      </fill>
    </dxf>
    <dxf>
      <fill>
        <patternFill>
          <bgColor rgb="FFFFFF00"/>
        </patternFill>
      </fill>
    </dxf>
    <dxf>
      <font>
        <color theme="0"/>
      </font>
    </dxf>
    <dxf>
      <fill>
        <patternFill>
          <bgColor rgb="FFFF99CC"/>
        </patternFill>
      </fill>
    </dxf>
    <dxf>
      <fill>
        <patternFill>
          <bgColor theme="0" tint="-0.14996795556505021"/>
        </patternFill>
      </fill>
    </dxf>
    <dxf>
      <fill>
        <patternFill>
          <bgColor rgb="FFFFFF00"/>
        </patternFill>
      </fill>
    </dxf>
    <dxf>
      <font>
        <color theme="0"/>
      </font>
    </dxf>
    <dxf>
      <fill>
        <patternFill>
          <bgColor rgb="FFFF99CC"/>
        </patternFill>
      </fill>
    </dxf>
    <dxf>
      <fill>
        <patternFill>
          <bgColor rgb="FFFFFF00"/>
        </patternFill>
      </fill>
    </dxf>
    <dxf>
      <font>
        <color theme="0"/>
      </font>
    </dxf>
    <dxf>
      <fill>
        <patternFill>
          <bgColor rgb="FFFF99CC"/>
        </patternFill>
      </fill>
    </dxf>
    <dxf>
      <fill>
        <patternFill>
          <bgColor rgb="FFFFFF00"/>
        </patternFill>
      </fill>
    </dxf>
    <dxf>
      <font>
        <color theme="0"/>
      </font>
    </dxf>
    <dxf>
      <fill>
        <patternFill>
          <bgColor rgb="FFFF99CC"/>
        </patternFill>
      </fill>
    </dxf>
    <dxf>
      <fill>
        <patternFill>
          <bgColor rgb="FFFFFF00"/>
        </patternFill>
      </fill>
    </dxf>
    <dxf>
      <font>
        <color theme="0"/>
      </font>
    </dxf>
    <dxf>
      <fill>
        <patternFill>
          <bgColor rgb="FFFF99CC"/>
        </patternFill>
      </fill>
    </dxf>
    <dxf>
      <font>
        <color theme="0"/>
      </font>
      <fill>
        <patternFill patternType="none">
          <bgColor auto="1"/>
        </patternFill>
      </fill>
    </dxf>
    <dxf>
      <fill>
        <patternFill>
          <bgColor rgb="FFFFFF00"/>
        </patternFill>
      </fill>
    </dxf>
    <dxf>
      <font>
        <color theme="0"/>
      </font>
    </dxf>
    <dxf>
      <fill>
        <patternFill>
          <bgColor rgb="FFFF99CC"/>
        </patternFill>
      </fill>
    </dxf>
    <dxf>
      <fill>
        <patternFill>
          <bgColor rgb="FFFFFF00"/>
        </patternFill>
      </fill>
    </dxf>
    <dxf>
      <font>
        <color theme="0"/>
      </font>
    </dxf>
    <dxf>
      <fill>
        <patternFill>
          <bgColor rgb="FFFF99CC"/>
        </patternFill>
      </fill>
    </dxf>
    <dxf>
      <fill>
        <patternFill>
          <bgColor rgb="FFFFFF00"/>
        </patternFill>
      </fill>
    </dxf>
    <dxf>
      <font>
        <color theme="0"/>
      </font>
    </dxf>
    <dxf>
      <fill>
        <patternFill>
          <bgColor rgb="FFFF99CC"/>
        </patternFill>
      </fill>
    </dxf>
    <dxf>
      <font>
        <color theme="3"/>
      </font>
      <fill>
        <patternFill>
          <bgColor rgb="FFFF99CC"/>
        </patternFill>
      </fill>
      <border>
        <left style="thin">
          <color auto="1"/>
        </left>
        <right style="thin">
          <color auto="1"/>
        </right>
        <top style="thin">
          <color auto="1"/>
        </top>
        <bottom style="thin">
          <color auto="1"/>
        </bottom>
      </border>
    </dxf>
    <dxf>
      <font>
        <color theme="0"/>
      </font>
      <fill>
        <patternFill patternType="none">
          <bgColor auto="1"/>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99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4" Type="http://schemas.openxmlformats.org/officeDocument/2006/relationships/customXml" Target="../customXml/item1.xml"/><Relationship Id="rId15" Type="http://schemas.openxmlformats.org/officeDocument/2006/relationships/customXml" Target="../customXml/item2.xml"/><Relationship Id="rId16" Type="http://schemas.openxmlformats.org/officeDocument/2006/relationships/customXml" Target="../customXml/item3.xml"/><Relationship Id="rId17" Type="http://schemas.openxmlformats.org/officeDocument/2006/relationships/customXml" Target="../customXml/item4.xml"/><Relationship Id="rId18"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06814974992"/>
          <c:y val="0.0217235861323568"/>
          <c:w val="0.88686137165618"/>
          <c:h val="0.920955095563093"/>
        </c:manualLayout>
      </c:layout>
      <c:barChart>
        <c:barDir val="col"/>
        <c:grouping val="clustered"/>
        <c:varyColors val="0"/>
        <c:ser>
          <c:idx val="6"/>
          <c:order val="3"/>
          <c:tx>
            <c:strRef>
              <c:f>'IV. Profit&amp;Loss + Cash Flow'!$C$32</c:f>
              <c:strCache>
                <c:ptCount val="1"/>
                <c:pt idx="0">
                  <c:v>Free Cash Flow with ESA</c:v>
                </c:pt>
              </c:strCache>
            </c:strRef>
          </c:tx>
          <c:invertIfNegative val="0"/>
          <c:cat>
            <c:numRef>
              <c:f>'IV. Profit&amp;Loss + Cash Flow'!$D$8:$X$8</c:f>
              <c:numCache>
                <c:formatCode>0_ ;[Red]\-0\ </c:formatCode>
                <c:ptCount val="12"/>
                <c:pt idx="0">
                  <c:v>0.0</c:v>
                </c:pt>
                <c:pt idx="1">
                  <c:v>1.0</c:v>
                </c:pt>
                <c:pt idx="2">
                  <c:v>2.0</c:v>
                </c:pt>
                <c:pt idx="3">
                  <c:v>3.0</c:v>
                </c:pt>
                <c:pt idx="4">
                  <c:v>4.0</c:v>
                </c:pt>
                <c:pt idx="5">
                  <c:v>5.0</c:v>
                </c:pt>
                <c:pt idx="6">
                  <c:v>6.0</c:v>
                </c:pt>
                <c:pt idx="7">
                  <c:v>7.0</c:v>
                </c:pt>
                <c:pt idx="8">
                  <c:v>8.0</c:v>
                </c:pt>
                <c:pt idx="9">
                  <c:v>9.0</c:v>
                </c:pt>
                <c:pt idx="10">
                  <c:v>10.0</c:v>
                </c:pt>
                <c:pt idx="11">
                  <c:v>11.0</c:v>
                </c:pt>
              </c:numCache>
            </c:numRef>
          </c:cat>
          <c:val>
            <c:numRef>
              <c:f>'IV. Profit&amp;Loss + Cash Flow'!$D$32:$X$32</c:f>
              <c:numCache>
                <c:formatCode>#,##0_ ;[Red]\-#,##0\ </c:formatCode>
                <c:ptCount val="12"/>
                <c:pt idx="0">
                  <c:v>-212790.6976744183</c:v>
                </c:pt>
                <c:pt idx="1">
                  <c:v>-437209.3023255814</c:v>
                </c:pt>
                <c:pt idx="2">
                  <c:v>-526250.0</c:v>
                </c:pt>
                <c:pt idx="3">
                  <c:v>45270.0</c:v>
                </c:pt>
                <c:pt idx="4">
                  <c:v>395427.5</c:v>
                </c:pt>
                <c:pt idx="5">
                  <c:v>736003.0</c:v>
                </c:pt>
                <c:pt idx="6">
                  <c:v>994786.55</c:v>
                </c:pt>
                <c:pt idx="7">
                  <c:v>1.885148695E6</c:v>
                </c:pt>
                <c:pt idx="8">
                  <c:v>2.8841608255E6</c:v>
                </c:pt>
                <c:pt idx="9">
                  <c:v>3.87971674295E6</c:v>
                </c:pt>
                <c:pt idx="10">
                  <c:v>5.031609568655E6</c:v>
                </c:pt>
                <c:pt idx="11">
                  <c:v>5.4388281117895E6</c:v>
                </c:pt>
              </c:numCache>
            </c:numRef>
          </c:val>
          <c:extLst xmlns:c16r2="http://schemas.microsoft.com/office/drawing/2015/06/chart">
            <c:ext xmlns:c16="http://schemas.microsoft.com/office/drawing/2014/chart" uri="{C3380CC4-5D6E-409C-BE32-E72D297353CC}">
              <c16:uniqueId val="{00000000-5992-4B91-9FE1-4E4B7A6ADCDB}"/>
            </c:ext>
          </c:extLst>
        </c:ser>
        <c:dLbls>
          <c:showLegendKey val="0"/>
          <c:showVal val="0"/>
          <c:showCatName val="0"/>
          <c:showSerName val="0"/>
          <c:showPercent val="0"/>
          <c:showBubbleSize val="0"/>
        </c:dLbls>
        <c:gapWidth val="150"/>
        <c:axId val="-1554450032"/>
        <c:axId val="-1554448256"/>
      </c:barChart>
      <c:lineChart>
        <c:grouping val="standard"/>
        <c:varyColors val="0"/>
        <c:ser>
          <c:idx val="0"/>
          <c:order val="0"/>
          <c:tx>
            <c:strRef>
              <c:f>'IV. Profit&amp;Loss + Cash Flow'!$C$33</c:f>
              <c:strCache>
                <c:ptCount val="1"/>
                <c:pt idx="0">
                  <c:v>Cumulative Free Cash Flow</c:v>
                </c:pt>
              </c:strCache>
            </c:strRef>
          </c:tx>
          <c:marker>
            <c:symbol val="none"/>
          </c:marker>
          <c:cat>
            <c:numRef>
              <c:f>'IV. Profit&amp;Loss + Cash Flow'!$D$8:$X$8</c:f>
              <c:numCache>
                <c:formatCode>0_ ;[Red]\-0\ </c:formatCode>
                <c:ptCount val="12"/>
                <c:pt idx="0">
                  <c:v>0.0</c:v>
                </c:pt>
                <c:pt idx="1">
                  <c:v>1.0</c:v>
                </c:pt>
                <c:pt idx="2">
                  <c:v>2.0</c:v>
                </c:pt>
                <c:pt idx="3">
                  <c:v>3.0</c:v>
                </c:pt>
                <c:pt idx="4">
                  <c:v>4.0</c:v>
                </c:pt>
                <c:pt idx="5">
                  <c:v>5.0</c:v>
                </c:pt>
                <c:pt idx="6">
                  <c:v>6.0</c:v>
                </c:pt>
                <c:pt idx="7">
                  <c:v>7.0</c:v>
                </c:pt>
                <c:pt idx="8">
                  <c:v>8.0</c:v>
                </c:pt>
                <c:pt idx="9">
                  <c:v>9.0</c:v>
                </c:pt>
                <c:pt idx="10">
                  <c:v>10.0</c:v>
                </c:pt>
                <c:pt idx="11">
                  <c:v>11.0</c:v>
                </c:pt>
              </c:numCache>
            </c:numRef>
          </c:cat>
          <c:val>
            <c:numRef>
              <c:f>'IV. Profit&amp;Loss + Cash Flow'!$D$33:$X$33</c:f>
              <c:numCache>
                <c:formatCode>#,##0_ ;[Red]\-#,##0\ </c:formatCode>
                <c:ptCount val="12"/>
                <c:pt idx="0">
                  <c:v>-212790.6976744183</c:v>
                </c:pt>
                <c:pt idx="1">
                  <c:v>-649999.9999999998</c:v>
                </c:pt>
                <c:pt idx="2">
                  <c:v>-1.17625E6</c:v>
                </c:pt>
                <c:pt idx="3">
                  <c:v>-1.13098E6</c:v>
                </c:pt>
                <c:pt idx="4">
                  <c:v>-735552.4999999998</c:v>
                </c:pt>
                <c:pt idx="5">
                  <c:v>450.5000000002328</c:v>
                </c:pt>
                <c:pt idx="6">
                  <c:v>995237.0500000002</c:v>
                </c:pt>
                <c:pt idx="7">
                  <c:v>2.880385745E6</c:v>
                </c:pt>
                <c:pt idx="8">
                  <c:v>5.7645465705E6</c:v>
                </c:pt>
                <c:pt idx="9">
                  <c:v>9.64426331345E6</c:v>
                </c:pt>
                <c:pt idx="10">
                  <c:v>1.4675872882105E7</c:v>
                </c:pt>
                <c:pt idx="11">
                  <c:v>2.01147009938945E7</c:v>
                </c:pt>
              </c:numCache>
            </c:numRef>
          </c:val>
          <c:smooth val="0"/>
          <c:extLst xmlns:c16r2="http://schemas.microsoft.com/office/drawing/2015/06/chart">
            <c:ext xmlns:c16="http://schemas.microsoft.com/office/drawing/2014/chart" uri="{C3380CC4-5D6E-409C-BE32-E72D297353CC}">
              <c16:uniqueId val="{00000001-5992-4B91-9FE1-4E4B7A6ADCDB}"/>
            </c:ext>
          </c:extLst>
        </c:ser>
        <c:ser>
          <c:idx val="3"/>
          <c:order val="1"/>
          <c:tx>
            <c:strRef>
              <c:f>'IV. Profit&amp;Loss + Cash Flow'!$C$22</c:f>
              <c:strCache>
                <c:ptCount val="1"/>
                <c:pt idx="0">
                  <c:v>Total Expenses (w/o ESA)</c:v>
                </c:pt>
              </c:strCache>
            </c:strRef>
          </c:tx>
          <c:marker>
            <c:symbol val="none"/>
          </c:marker>
          <c:cat>
            <c:numRef>
              <c:f>'IV. Profit&amp;Loss + Cash Flow'!$D$8:$X$8</c:f>
              <c:numCache>
                <c:formatCode>0_ ;[Red]\-0\ </c:formatCode>
                <c:ptCount val="12"/>
                <c:pt idx="0">
                  <c:v>0.0</c:v>
                </c:pt>
                <c:pt idx="1">
                  <c:v>1.0</c:v>
                </c:pt>
                <c:pt idx="2">
                  <c:v>2.0</c:v>
                </c:pt>
                <c:pt idx="3">
                  <c:v>3.0</c:v>
                </c:pt>
                <c:pt idx="4">
                  <c:v>4.0</c:v>
                </c:pt>
                <c:pt idx="5">
                  <c:v>5.0</c:v>
                </c:pt>
                <c:pt idx="6">
                  <c:v>6.0</c:v>
                </c:pt>
                <c:pt idx="7">
                  <c:v>7.0</c:v>
                </c:pt>
                <c:pt idx="8">
                  <c:v>8.0</c:v>
                </c:pt>
                <c:pt idx="9">
                  <c:v>9.0</c:v>
                </c:pt>
                <c:pt idx="10">
                  <c:v>10.0</c:v>
                </c:pt>
                <c:pt idx="11">
                  <c:v>11.0</c:v>
                </c:pt>
              </c:numCache>
            </c:numRef>
          </c:cat>
          <c:val>
            <c:numRef>
              <c:f>'IV. Profit&amp;Loss + Cash Flow'!$D$22:$X$22</c:f>
              <c:numCache>
                <c:formatCode>#,##0_ ;[Red]\-#,##0\ </c:formatCode>
                <c:ptCount val="12"/>
                <c:pt idx="0">
                  <c:v>1.35116279069767E6</c:v>
                </c:pt>
                <c:pt idx="1">
                  <c:v>948837.2093023256</c:v>
                </c:pt>
                <c:pt idx="2">
                  <c:v>742815.0</c:v>
                </c:pt>
                <c:pt idx="3">
                  <c:v>168615.0</c:v>
                </c:pt>
                <c:pt idx="4">
                  <c:v>234750.0</c:v>
                </c:pt>
                <c:pt idx="5">
                  <c:v>280900.0</c:v>
                </c:pt>
                <c:pt idx="6">
                  <c:v>323600.0</c:v>
                </c:pt>
                <c:pt idx="7">
                  <c:v>353600.0</c:v>
                </c:pt>
                <c:pt idx="8">
                  <c:v>363600.0</c:v>
                </c:pt>
                <c:pt idx="9">
                  <c:v>368600.0</c:v>
                </c:pt>
                <c:pt idx="10">
                  <c:v>383600.0</c:v>
                </c:pt>
                <c:pt idx="11">
                  <c:v>348600.0</c:v>
                </c:pt>
              </c:numCache>
            </c:numRef>
          </c:val>
          <c:smooth val="0"/>
          <c:extLst xmlns:c16r2="http://schemas.microsoft.com/office/drawing/2015/06/chart">
            <c:ext xmlns:c16="http://schemas.microsoft.com/office/drawing/2014/chart" uri="{C3380CC4-5D6E-409C-BE32-E72D297353CC}">
              <c16:uniqueId val="{00000002-5992-4B91-9FE1-4E4B7A6ADCDB}"/>
            </c:ext>
          </c:extLst>
        </c:ser>
        <c:ser>
          <c:idx val="5"/>
          <c:order val="2"/>
          <c:tx>
            <c:strRef>
              <c:f>'IV. Profit&amp;Loss + Cash Flow'!$C$12</c:f>
              <c:strCache>
                <c:ptCount val="1"/>
                <c:pt idx="0">
                  <c:v>Total Revenues</c:v>
                </c:pt>
              </c:strCache>
            </c:strRef>
          </c:tx>
          <c:marker>
            <c:symbol val="none"/>
          </c:marker>
          <c:cat>
            <c:numRef>
              <c:f>'IV. Profit&amp;Loss + Cash Flow'!$D$8:$X$8</c:f>
              <c:numCache>
                <c:formatCode>0_ ;[Red]\-0\ </c:formatCode>
                <c:ptCount val="12"/>
                <c:pt idx="0">
                  <c:v>0.0</c:v>
                </c:pt>
                <c:pt idx="1">
                  <c:v>1.0</c:v>
                </c:pt>
                <c:pt idx="2">
                  <c:v>2.0</c:v>
                </c:pt>
                <c:pt idx="3">
                  <c:v>3.0</c:v>
                </c:pt>
                <c:pt idx="4">
                  <c:v>4.0</c:v>
                </c:pt>
                <c:pt idx="5">
                  <c:v>5.0</c:v>
                </c:pt>
                <c:pt idx="6">
                  <c:v>6.0</c:v>
                </c:pt>
                <c:pt idx="7">
                  <c:v>7.0</c:v>
                </c:pt>
                <c:pt idx="8">
                  <c:v>8.0</c:v>
                </c:pt>
                <c:pt idx="9">
                  <c:v>9.0</c:v>
                </c:pt>
                <c:pt idx="10">
                  <c:v>10.0</c:v>
                </c:pt>
                <c:pt idx="11">
                  <c:v>11.0</c:v>
                </c:pt>
              </c:numCache>
            </c:numRef>
          </c:cat>
          <c:val>
            <c:numRef>
              <c:f>'IV. Profit&amp;Loss + Cash Flow'!$D$12:$X$12</c:f>
              <c:numCache>
                <c:formatCode>General</c:formatCode>
                <c:ptCount val="12"/>
                <c:pt idx="2" formatCode="_-* #,##0_-;\-* #,##0_-;_-* &quot;-&quot;??_-;_-@_-">
                  <c:v>22700.0</c:v>
                </c:pt>
                <c:pt idx="3" formatCode="_-* #,##0_-;\-* #,##0_-;_-* &quot;-&quot;??_-;_-@_-">
                  <c:v>245000.0</c:v>
                </c:pt>
                <c:pt idx="4" formatCode="_-* #,##0_-;\-* #,##0_-;_-* &quot;-&quot;??_-;_-@_-">
                  <c:v>650450.0</c:v>
                </c:pt>
                <c:pt idx="5" formatCode="_-* #,##0_-;\-* #,##0_-;_-* &quot;-&quot;??_-;_-@_-">
                  <c:v>1.03619E6</c:v>
                </c:pt>
                <c:pt idx="6" formatCode="_-* #,##0_-;\-* #,##0_-;_-* &quot;-&quot;??_-;_-@_-">
                  <c:v>1.333239E6</c:v>
                </c:pt>
                <c:pt idx="7" formatCode="_-* #,##0_-;\-* #,##0_-;_-* &quot;-&quot;??_-;_-@_-">
                  <c:v>2.2864071E6</c:v>
                </c:pt>
                <c:pt idx="8" formatCode="_-* #,##0_-;\-* #,##0_-;_-* &quot;-&quot;??_-;_-@_-">
                  <c:v>3.29835839E6</c:v>
                </c:pt>
                <c:pt idx="9" formatCode="_-* #,##0_-;\-* #,##0_-;_-* &quot;-&quot;??_-;_-@_-">
                  <c:v>4.298314551E6</c:v>
                </c:pt>
                <c:pt idx="10" formatCode="_-* #,##0_-;\-* #,##0_-;_-* &quot;-&quot;??_-;_-@_-">
                  <c:v>5.5266250959E6</c:v>
                </c:pt>
                <c:pt idx="11" formatCode="_-* #,##0_-;\-* #,##0_-;_-* &quot;-&quot;??_-;_-@_-">
                  <c:v>5.80115458631E6</c:v>
                </c:pt>
              </c:numCache>
            </c:numRef>
          </c:val>
          <c:smooth val="0"/>
          <c:extLst xmlns:c16r2="http://schemas.microsoft.com/office/drawing/2015/06/chart">
            <c:ext xmlns:c16="http://schemas.microsoft.com/office/drawing/2014/chart" uri="{C3380CC4-5D6E-409C-BE32-E72D297353CC}">
              <c16:uniqueId val="{00000003-5992-4B91-9FE1-4E4B7A6ADCDB}"/>
            </c:ext>
          </c:extLst>
        </c:ser>
        <c:ser>
          <c:idx val="1"/>
          <c:order val="4"/>
          <c:tx>
            <c:strRef>
              <c:f>'IV. Profit&amp;Loss + Cash Flow'!$C$34</c:f>
              <c:strCache>
                <c:ptCount val="1"/>
                <c:pt idx="0">
                  <c:v>Discounted Cash Flow with ESA</c:v>
                </c:pt>
              </c:strCache>
            </c:strRef>
          </c:tx>
          <c:marker>
            <c:symbol val="none"/>
          </c:marker>
          <c:cat>
            <c:numRef>
              <c:f>'IV. Profit&amp;Loss + Cash Flow'!$D$8:$X$8</c:f>
              <c:numCache>
                <c:formatCode>0_ ;[Red]\-0\ </c:formatCode>
                <c:ptCount val="12"/>
                <c:pt idx="0">
                  <c:v>0.0</c:v>
                </c:pt>
                <c:pt idx="1">
                  <c:v>1.0</c:v>
                </c:pt>
                <c:pt idx="2">
                  <c:v>2.0</c:v>
                </c:pt>
                <c:pt idx="3">
                  <c:v>3.0</c:v>
                </c:pt>
                <c:pt idx="4">
                  <c:v>4.0</c:v>
                </c:pt>
                <c:pt idx="5">
                  <c:v>5.0</c:v>
                </c:pt>
                <c:pt idx="6">
                  <c:v>6.0</c:v>
                </c:pt>
                <c:pt idx="7">
                  <c:v>7.0</c:v>
                </c:pt>
                <c:pt idx="8">
                  <c:v>8.0</c:v>
                </c:pt>
                <c:pt idx="9">
                  <c:v>9.0</c:v>
                </c:pt>
                <c:pt idx="10">
                  <c:v>10.0</c:v>
                </c:pt>
                <c:pt idx="11">
                  <c:v>11.0</c:v>
                </c:pt>
              </c:numCache>
            </c:numRef>
          </c:cat>
          <c:val>
            <c:numRef>
              <c:f>'IV. Profit&amp;Loss + Cash Flow'!$D$34:$X$34</c:f>
              <c:numCache>
                <c:formatCode>#,##0_ ;[Red]\-#,##0\ </c:formatCode>
                <c:ptCount val="12"/>
                <c:pt idx="0">
                  <c:v>-193446.0887949257</c:v>
                </c:pt>
                <c:pt idx="1">
                  <c:v>-361330.0019219681</c:v>
                </c:pt>
                <c:pt idx="2">
                  <c:v>-395379.4139744551</c:v>
                </c:pt>
                <c:pt idx="3">
                  <c:v>30920.01912437674</c:v>
                </c:pt>
                <c:pt idx="4">
                  <c:v>245529.366473974</c:v>
                </c:pt>
                <c:pt idx="5">
                  <c:v>415454.5059413701</c:v>
                </c:pt>
                <c:pt idx="6">
                  <c:v>510482.7940392165</c:v>
                </c:pt>
                <c:pt idx="7">
                  <c:v>879435.7790102473</c:v>
                </c:pt>
                <c:pt idx="8">
                  <c:v>1.22316573709777E6</c:v>
                </c:pt>
                <c:pt idx="9">
                  <c:v>1.49579875513177E6</c:v>
                </c:pt>
                <c:pt idx="10">
                  <c:v>1.76354845838578E6</c:v>
                </c:pt>
                <c:pt idx="11">
                  <c:v>1.73297824864556E6</c:v>
                </c:pt>
              </c:numCache>
            </c:numRef>
          </c:val>
          <c:smooth val="0"/>
          <c:extLst xmlns:c16r2="http://schemas.microsoft.com/office/drawing/2015/06/chart">
            <c:ext xmlns:c16="http://schemas.microsoft.com/office/drawing/2014/chart" uri="{C3380CC4-5D6E-409C-BE32-E72D297353CC}">
              <c16:uniqueId val="{00000004-5992-4B91-9FE1-4E4B7A6ADCDB}"/>
            </c:ext>
          </c:extLst>
        </c:ser>
        <c:dLbls>
          <c:showLegendKey val="0"/>
          <c:showVal val="0"/>
          <c:showCatName val="0"/>
          <c:showSerName val="0"/>
          <c:showPercent val="0"/>
          <c:showBubbleSize val="0"/>
        </c:dLbls>
        <c:marker val="1"/>
        <c:smooth val="0"/>
        <c:axId val="-1554450032"/>
        <c:axId val="-1554448256"/>
      </c:lineChart>
      <c:catAx>
        <c:axId val="-1554450032"/>
        <c:scaling>
          <c:orientation val="minMax"/>
        </c:scaling>
        <c:delete val="0"/>
        <c:axPos val="b"/>
        <c:numFmt formatCode="0_ ;[Red]\-0\ " sourceLinked="1"/>
        <c:majorTickMark val="out"/>
        <c:minorTickMark val="none"/>
        <c:tickLblPos val="nextTo"/>
        <c:crossAx val="-1554448256"/>
        <c:crosses val="autoZero"/>
        <c:auto val="1"/>
        <c:lblAlgn val="ctr"/>
        <c:lblOffset val="100"/>
        <c:tickLblSkip val="1"/>
        <c:noMultiLvlLbl val="0"/>
      </c:catAx>
      <c:valAx>
        <c:axId val="-1554448256"/>
        <c:scaling>
          <c:orientation val="minMax"/>
        </c:scaling>
        <c:delete val="0"/>
        <c:axPos val="l"/>
        <c:majorGridlines/>
        <c:numFmt formatCode="#,##0_ ;[Red]\-#,##0\ " sourceLinked="0"/>
        <c:majorTickMark val="out"/>
        <c:minorTickMark val="none"/>
        <c:tickLblPos val="nextTo"/>
        <c:crossAx val="-155445003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06814974992"/>
          <c:y val="0.0217235861323568"/>
          <c:w val="0.88686137165618"/>
          <c:h val="0.920955095563093"/>
        </c:manualLayout>
      </c:layout>
      <c:barChart>
        <c:barDir val="col"/>
        <c:grouping val="clustered"/>
        <c:varyColors val="0"/>
        <c:ser>
          <c:idx val="6"/>
          <c:order val="3"/>
          <c:tx>
            <c:strRef>
              <c:f>'IV. Profit&amp;Loss + Cash Flow'!$D$35:$X$35</c:f>
              <c:strCache>
                <c:ptCount val="21"/>
                <c:pt idx="0">
                  <c:v>0 </c:v>
                </c:pt>
                <c:pt idx="1">
                  <c:v>0 </c:v>
                </c:pt>
                <c:pt idx="2">
                  <c:v>0 </c:v>
                </c:pt>
                <c:pt idx="3">
                  <c:v>0 </c:v>
                </c:pt>
                <c:pt idx="4">
                  <c:v>0 </c:v>
                </c:pt>
                <c:pt idx="5">
                  <c:v>0 </c:v>
                </c:pt>
                <c:pt idx="6">
                  <c:v>0 </c:v>
                </c:pt>
                <c:pt idx="7">
                  <c:v>0 </c:v>
                </c:pt>
                <c:pt idx="8">
                  <c:v>-1.351.163 </c:v>
                </c:pt>
                <c:pt idx="9">
                  <c:v>-948.837 </c:v>
                </c:pt>
                <c:pt idx="10">
                  <c:v>-826.250 </c:v>
                </c:pt>
                <c:pt idx="11">
                  <c:v>45.270 </c:v>
                </c:pt>
                <c:pt idx="12">
                  <c:v>395.428 </c:v>
                </c:pt>
                <c:pt idx="13">
                  <c:v>736.003 </c:v>
                </c:pt>
                <c:pt idx="14">
                  <c:v>994.787 </c:v>
                </c:pt>
                <c:pt idx="15">
                  <c:v>1.885.149 </c:v>
                </c:pt>
                <c:pt idx="16">
                  <c:v>2.884.161 </c:v>
                </c:pt>
                <c:pt idx="17">
                  <c:v>3.879.717 </c:v>
                </c:pt>
                <c:pt idx="18">
                  <c:v>5.031.610 </c:v>
                </c:pt>
                <c:pt idx="19">
                  <c:v>5.438.828 </c:v>
                </c:pt>
                <c:pt idx="20">
                  <c:v>5.768.075 </c:v>
                </c:pt>
              </c:strCache>
            </c:strRef>
          </c:tx>
          <c:invertIfNegative val="0"/>
          <c:cat>
            <c:numRef>
              <c:f>'IV. Profit&amp;Loss + Cash Flow'!$D$8:$X$8</c:f>
              <c:numCache>
                <c:formatCode>0_ ;[Red]\-0\ </c:formatCode>
                <c:ptCount val="12"/>
                <c:pt idx="0">
                  <c:v>0.0</c:v>
                </c:pt>
                <c:pt idx="1">
                  <c:v>1.0</c:v>
                </c:pt>
                <c:pt idx="2">
                  <c:v>2.0</c:v>
                </c:pt>
                <c:pt idx="3">
                  <c:v>3.0</c:v>
                </c:pt>
                <c:pt idx="4">
                  <c:v>4.0</c:v>
                </c:pt>
                <c:pt idx="5">
                  <c:v>5.0</c:v>
                </c:pt>
                <c:pt idx="6">
                  <c:v>6.0</c:v>
                </c:pt>
                <c:pt idx="7">
                  <c:v>7.0</c:v>
                </c:pt>
                <c:pt idx="8">
                  <c:v>8.0</c:v>
                </c:pt>
                <c:pt idx="9">
                  <c:v>9.0</c:v>
                </c:pt>
                <c:pt idx="10">
                  <c:v>10.0</c:v>
                </c:pt>
                <c:pt idx="11">
                  <c:v>11.0</c:v>
                </c:pt>
              </c:numCache>
            </c:numRef>
          </c:cat>
          <c:val>
            <c:numRef>
              <c:f>'IV. Profit&amp;Loss + Cash Flow'!$D$32:$X$32</c:f>
              <c:numCache>
                <c:formatCode>#,##0_ ;[Red]\-#,##0\ </c:formatCode>
                <c:ptCount val="12"/>
                <c:pt idx="0">
                  <c:v>-212790.6976744183</c:v>
                </c:pt>
                <c:pt idx="1">
                  <c:v>-437209.3023255814</c:v>
                </c:pt>
                <c:pt idx="2">
                  <c:v>-526250.0</c:v>
                </c:pt>
                <c:pt idx="3">
                  <c:v>45270.0</c:v>
                </c:pt>
                <c:pt idx="4">
                  <c:v>395427.5</c:v>
                </c:pt>
                <c:pt idx="5">
                  <c:v>736003.0</c:v>
                </c:pt>
                <c:pt idx="6">
                  <c:v>994786.55</c:v>
                </c:pt>
                <c:pt idx="7">
                  <c:v>1.885148695E6</c:v>
                </c:pt>
                <c:pt idx="8">
                  <c:v>2.8841608255E6</c:v>
                </c:pt>
                <c:pt idx="9">
                  <c:v>3.87971674295E6</c:v>
                </c:pt>
                <c:pt idx="10">
                  <c:v>5.031609568655E6</c:v>
                </c:pt>
                <c:pt idx="11">
                  <c:v>5.4388281117895E6</c:v>
                </c:pt>
              </c:numCache>
            </c:numRef>
          </c:val>
          <c:extLst xmlns:c16r2="http://schemas.microsoft.com/office/drawing/2015/06/chart">
            <c:ext xmlns:c16="http://schemas.microsoft.com/office/drawing/2014/chart" uri="{C3380CC4-5D6E-409C-BE32-E72D297353CC}">
              <c16:uniqueId val="{00000000-5E41-41B3-8514-69D197486890}"/>
            </c:ext>
          </c:extLst>
        </c:ser>
        <c:dLbls>
          <c:showLegendKey val="0"/>
          <c:showVal val="0"/>
          <c:showCatName val="0"/>
          <c:showSerName val="0"/>
          <c:showPercent val="0"/>
          <c:showBubbleSize val="0"/>
        </c:dLbls>
        <c:gapWidth val="150"/>
        <c:axId val="-1663432752"/>
        <c:axId val="-1440601008"/>
      </c:barChart>
      <c:lineChart>
        <c:grouping val="standard"/>
        <c:varyColors val="0"/>
        <c:ser>
          <c:idx val="0"/>
          <c:order val="0"/>
          <c:tx>
            <c:strRef>
              <c:f>'IV. Profit&amp;Loss + Cash Flow'!$C$36</c:f>
              <c:strCache>
                <c:ptCount val="1"/>
                <c:pt idx="0">
                  <c:v>Cumulative Free Cash Flow without ESA</c:v>
                </c:pt>
              </c:strCache>
            </c:strRef>
          </c:tx>
          <c:marker>
            <c:symbol val="none"/>
          </c:marker>
          <c:cat>
            <c:numRef>
              <c:f>'IV. Profit&amp;Loss + Cash Flow'!$D$8:$X$8</c:f>
              <c:numCache>
                <c:formatCode>0_ ;[Red]\-0\ </c:formatCode>
                <c:ptCount val="12"/>
                <c:pt idx="0">
                  <c:v>0.0</c:v>
                </c:pt>
                <c:pt idx="1">
                  <c:v>1.0</c:v>
                </c:pt>
                <c:pt idx="2">
                  <c:v>2.0</c:v>
                </c:pt>
                <c:pt idx="3">
                  <c:v>3.0</c:v>
                </c:pt>
                <c:pt idx="4">
                  <c:v>4.0</c:v>
                </c:pt>
                <c:pt idx="5">
                  <c:v>5.0</c:v>
                </c:pt>
                <c:pt idx="6">
                  <c:v>6.0</c:v>
                </c:pt>
                <c:pt idx="7">
                  <c:v>7.0</c:v>
                </c:pt>
                <c:pt idx="8">
                  <c:v>8.0</c:v>
                </c:pt>
                <c:pt idx="9">
                  <c:v>9.0</c:v>
                </c:pt>
                <c:pt idx="10">
                  <c:v>10.0</c:v>
                </c:pt>
                <c:pt idx="11">
                  <c:v>11.0</c:v>
                </c:pt>
              </c:numCache>
            </c:numRef>
          </c:cat>
          <c:val>
            <c:numRef>
              <c:f>'IV. Profit&amp;Loss + Cash Flow'!$D$36:$X$36</c:f>
              <c:numCache>
                <c:formatCode>#,##0_ ;[Red]\-#,##0\ </c:formatCode>
                <c:ptCount val="12"/>
                <c:pt idx="0">
                  <c:v>-1.35116279069767E6</c:v>
                </c:pt>
                <c:pt idx="1">
                  <c:v>-2.3E6</c:v>
                </c:pt>
                <c:pt idx="2">
                  <c:v>-3.12625E6</c:v>
                </c:pt>
                <c:pt idx="3">
                  <c:v>-3.08098E6</c:v>
                </c:pt>
                <c:pt idx="4">
                  <c:v>-2.6855525E6</c:v>
                </c:pt>
                <c:pt idx="5">
                  <c:v>-1.9495495E6</c:v>
                </c:pt>
                <c:pt idx="6">
                  <c:v>-954762.95</c:v>
                </c:pt>
                <c:pt idx="7">
                  <c:v>930385.7450000001</c:v>
                </c:pt>
                <c:pt idx="8">
                  <c:v>3.8145465705E6</c:v>
                </c:pt>
                <c:pt idx="9">
                  <c:v>7.69426331345E6</c:v>
                </c:pt>
                <c:pt idx="10">
                  <c:v>1.2725872882105E7</c:v>
                </c:pt>
                <c:pt idx="11">
                  <c:v>1.81647009938945E7</c:v>
                </c:pt>
              </c:numCache>
            </c:numRef>
          </c:val>
          <c:smooth val="0"/>
          <c:extLst xmlns:c16r2="http://schemas.microsoft.com/office/drawing/2015/06/chart">
            <c:ext xmlns:c16="http://schemas.microsoft.com/office/drawing/2014/chart" uri="{C3380CC4-5D6E-409C-BE32-E72D297353CC}">
              <c16:uniqueId val="{00000001-5E41-41B3-8514-69D197486890}"/>
            </c:ext>
          </c:extLst>
        </c:ser>
        <c:ser>
          <c:idx val="3"/>
          <c:order val="1"/>
          <c:tx>
            <c:strRef>
              <c:f>'IV. Profit&amp;Loss + Cash Flow'!$C$22</c:f>
              <c:strCache>
                <c:ptCount val="1"/>
                <c:pt idx="0">
                  <c:v>Total Expenses (w/o ESA)</c:v>
                </c:pt>
              </c:strCache>
            </c:strRef>
          </c:tx>
          <c:marker>
            <c:symbol val="none"/>
          </c:marker>
          <c:cat>
            <c:numRef>
              <c:f>'IV. Profit&amp;Loss + Cash Flow'!$D$8:$X$8</c:f>
              <c:numCache>
                <c:formatCode>0_ ;[Red]\-0\ </c:formatCode>
                <c:ptCount val="12"/>
                <c:pt idx="0">
                  <c:v>0.0</c:v>
                </c:pt>
                <c:pt idx="1">
                  <c:v>1.0</c:v>
                </c:pt>
                <c:pt idx="2">
                  <c:v>2.0</c:v>
                </c:pt>
                <c:pt idx="3">
                  <c:v>3.0</c:v>
                </c:pt>
                <c:pt idx="4">
                  <c:v>4.0</c:v>
                </c:pt>
                <c:pt idx="5">
                  <c:v>5.0</c:v>
                </c:pt>
                <c:pt idx="6">
                  <c:v>6.0</c:v>
                </c:pt>
                <c:pt idx="7">
                  <c:v>7.0</c:v>
                </c:pt>
                <c:pt idx="8">
                  <c:v>8.0</c:v>
                </c:pt>
                <c:pt idx="9">
                  <c:v>9.0</c:v>
                </c:pt>
                <c:pt idx="10">
                  <c:v>10.0</c:v>
                </c:pt>
                <c:pt idx="11">
                  <c:v>11.0</c:v>
                </c:pt>
              </c:numCache>
            </c:numRef>
          </c:cat>
          <c:val>
            <c:numRef>
              <c:f>'IV. Profit&amp;Loss + Cash Flow'!$D$22:$X$22</c:f>
              <c:numCache>
                <c:formatCode>#,##0_ ;[Red]\-#,##0\ </c:formatCode>
                <c:ptCount val="12"/>
                <c:pt idx="0">
                  <c:v>1.35116279069767E6</c:v>
                </c:pt>
                <c:pt idx="1">
                  <c:v>948837.2093023256</c:v>
                </c:pt>
                <c:pt idx="2">
                  <c:v>742815.0</c:v>
                </c:pt>
                <c:pt idx="3">
                  <c:v>168615.0</c:v>
                </c:pt>
                <c:pt idx="4">
                  <c:v>234750.0</c:v>
                </c:pt>
                <c:pt idx="5">
                  <c:v>280900.0</c:v>
                </c:pt>
                <c:pt idx="6">
                  <c:v>323600.0</c:v>
                </c:pt>
                <c:pt idx="7">
                  <c:v>353600.0</c:v>
                </c:pt>
                <c:pt idx="8">
                  <c:v>363600.0</c:v>
                </c:pt>
                <c:pt idx="9">
                  <c:v>368600.0</c:v>
                </c:pt>
                <c:pt idx="10">
                  <c:v>383600.0</c:v>
                </c:pt>
                <c:pt idx="11">
                  <c:v>348600.0</c:v>
                </c:pt>
              </c:numCache>
            </c:numRef>
          </c:val>
          <c:smooth val="0"/>
          <c:extLst xmlns:c16r2="http://schemas.microsoft.com/office/drawing/2015/06/chart">
            <c:ext xmlns:c16="http://schemas.microsoft.com/office/drawing/2014/chart" uri="{C3380CC4-5D6E-409C-BE32-E72D297353CC}">
              <c16:uniqueId val="{00000002-5E41-41B3-8514-69D197486890}"/>
            </c:ext>
          </c:extLst>
        </c:ser>
        <c:ser>
          <c:idx val="5"/>
          <c:order val="2"/>
          <c:tx>
            <c:strRef>
              <c:f>'IV. Profit&amp;Loss + Cash Flow'!$C$12</c:f>
              <c:strCache>
                <c:ptCount val="1"/>
                <c:pt idx="0">
                  <c:v>Total Revenues</c:v>
                </c:pt>
              </c:strCache>
            </c:strRef>
          </c:tx>
          <c:marker>
            <c:symbol val="none"/>
          </c:marker>
          <c:cat>
            <c:numRef>
              <c:f>'IV. Profit&amp;Loss + Cash Flow'!$D$8:$X$8</c:f>
              <c:numCache>
                <c:formatCode>0_ ;[Red]\-0\ </c:formatCode>
                <c:ptCount val="12"/>
                <c:pt idx="0">
                  <c:v>0.0</c:v>
                </c:pt>
                <c:pt idx="1">
                  <c:v>1.0</c:v>
                </c:pt>
                <c:pt idx="2">
                  <c:v>2.0</c:v>
                </c:pt>
                <c:pt idx="3">
                  <c:v>3.0</c:v>
                </c:pt>
                <c:pt idx="4">
                  <c:v>4.0</c:v>
                </c:pt>
                <c:pt idx="5">
                  <c:v>5.0</c:v>
                </c:pt>
                <c:pt idx="6">
                  <c:v>6.0</c:v>
                </c:pt>
                <c:pt idx="7">
                  <c:v>7.0</c:v>
                </c:pt>
                <c:pt idx="8">
                  <c:v>8.0</c:v>
                </c:pt>
                <c:pt idx="9">
                  <c:v>9.0</c:v>
                </c:pt>
                <c:pt idx="10">
                  <c:v>10.0</c:v>
                </c:pt>
                <c:pt idx="11">
                  <c:v>11.0</c:v>
                </c:pt>
              </c:numCache>
            </c:numRef>
          </c:cat>
          <c:val>
            <c:numRef>
              <c:f>'IV. Profit&amp;Loss + Cash Flow'!$D$12:$X$12</c:f>
              <c:numCache>
                <c:formatCode>General</c:formatCode>
                <c:ptCount val="12"/>
                <c:pt idx="2" formatCode="_-* #,##0_-;\-* #,##0_-;_-* &quot;-&quot;??_-;_-@_-">
                  <c:v>22700.0</c:v>
                </c:pt>
                <c:pt idx="3" formatCode="_-* #,##0_-;\-* #,##0_-;_-* &quot;-&quot;??_-;_-@_-">
                  <c:v>245000.0</c:v>
                </c:pt>
                <c:pt idx="4" formatCode="_-* #,##0_-;\-* #,##0_-;_-* &quot;-&quot;??_-;_-@_-">
                  <c:v>650450.0</c:v>
                </c:pt>
                <c:pt idx="5" formatCode="_-* #,##0_-;\-* #,##0_-;_-* &quot;-&quot;??_-;_-@_-">
                  <c:v>1.03619E6</c:v>
                </c:pt>
                <c:pt idx="6" formatCode="_-* #,##0_-;\-* #,##0_-;_-* &quot;-&quot;??_-;_-@_-">
                  <c:v>1.333239E6</c:v>
                </c:pt>
                <c:pt idx="7" formatCode="_-* #,##0_-;\-* #,##0_-;_-* &quot;-&quot;??_-;_-@_-">
                  <c:v>2.2864071E6</c:v>
                </c:pt>
                <c:pt idx="8" formatCode="_-* #,##0_-;\-* #,##0_-;_-* &quot;-&quot;??_-;_-@_-">
                  <c:v>3.29835839E6</c:v>
                </c:pt>
                <c:pt idx="9" formatCode="_-* #,##0_-;\-* #,##0_-;_-* &quot;-&quot;??_-;_-@_-">
                  <c:v>4.298314551E6</c:v>
                </c:pt>
                <c:pt idx="10" formatCode="_-* #,##0_-;\-* #,##0_-;_-* &quot;-&quot;??_-;_-@_-">
                  <c:v>5.5266250959E6</c:v>
                </c:pt>
                <c:pt idx="11" formatCode="_-* #,##0_-;\-* #,##0_-;_-* &quot;-&quot;??_-;_-@_-">
                  <c:v>5.80115458631E6</c:v>
                </c:pt>
              </c:numCache>
            </c:numRef>
          </c:val>
          <c:smooth val="0"/>
          <c:extLst xmlns:c16r2="http://schemas.microsoft.com/office/drawing/2015/06/chart">
            <c:ext xmlns:c16="http://schemas.microsoft.com/office/drawing/2014/chart" uri="{C3380CC4-5D6E-409C-BE32-E72D297353CC}">
              <c16:uniqueId val="{00000003-5E41-41B3-8514-69D197486890}"/>
            </c:ext>
          </c:extLst>
        </c:ser>
        <c:ser>
          <c:idx val="1"/>
          <c:order val="4"/>
          <c:tx>
            <c:strRef>
              <c:f>'IV. Profit&amp;Loss + Cash Flow'!$C$37</c:f>
              <c:strCache>
                <c:ptCount val="1"/>
                <c:pt idx="0">
                  <c:v>Discounted Cash Flow without ESA</c:v>
                </c:pt>
              </c:strCache>
            </c:strRef>
          </c:tx>
          <c:marker>
            <c:symbol val="none"/>
          </c:marker>
          <c:cat>
            <c:numRef>
              <c:f>'IV. Profit&amp;Loss + Cash Flow'!$D$8:$X$8</c:f>
              <c:numCache>
                <c:formatCode>0_ ;[Red]\-0\ </c:formatCode>
                <c:ptCount val="12"/>
                <c:pt idx="0">
                  <c:v>0.0</c:v>
                </c:pt>
                <c:pt idx="1">
                  <c:v>1.0</c:v>
                </c:pt>
                <c:pt idx="2">
                  <c:v>2.0</c:v>
                </c:pt>
                <c:pt idx="3">
                  <c:v>3.0</c:v>
                </c:pt>
                <c:pt idx="4">
                  <c:v>4.0</c:v>
                </c:pt>
                <c:pt idx="5">
                  <c:v>5.0</c:v>
                </c:pt>
                <c:pt idx="6">
                  <c:v>6.0</c:v>
                </c:pt>
                <c:pt idx="7">
                  <c:v>7.0</c:v>
                </c:pt>
                <c:pt idx="8">
                  <c:v>8.0</c:v>
                </c:pt>
                <c:pt idx="9">
                  <c:v>9.0</c:v>
                </c:pt>
                <c:pt idx="10">
                  <c:v>10.0</c:v>
                </c:pt>
                <c:pt idx="11">
                  <c:v>11.0</c:v>
                </c:pt>
              </c:numCache>
            </c:numRef>
          </c:cat>
          <c:val>
            <c:numRef>
              <c:f>'IV. Profit&amp;Loss + Cash Flow'!$D$37:$X$37</c:f>
              <c:numCache>
                <c:formatCode>#,##0_ ;[Red]\-#,##0\ </c:formatCode>
                <c:ptCount val="12"/>
                <c:pt idx="0">
                  <c:v>-1.22832980972516E6</c:v>
                </c:pt>
                <c:pt idx="1">
                  <c:v>-784162.9828944838</c:v>
                </c:pt>
                <c:pt idx="2">
                  <c:v>-620773.8542449284</c:v>
                </c:pt>
                <c:pt idx="3">
                  <c:v>30920.01912437674</c:v>
                </c:pt>
                <c:pt idx="4">
                  <c:v>245529.366473974</c:v>
                </c:pt>
                <c:pt idx="5">
                  <c:v>415454.5059413701</c:v>
                </c:pt>
                <c:pt idx="6">
                  <c:v>510482.7940392165</c:v>
                </c:pt>
                <c:pt idx="7">
                  <c:v>879435.7790102473</c:v>
                </c:pt>
                <c:pt idx="8">
                  <c:v>1.22316573709777E6</c:v>
                </c:pt>
                <c:pt idx="9">
                  <c:v>1.49579875513177E6</c:v>
                </c:pt>
                <c:pt idx="10">
                  <c:v>1.76354845838578E6</c:v>
                </c:pt>
                <c:pt idx="11">
                  <c:v>1.73297824864556E6</c:v>
                </c:pt>
              </c:numCache>
            </c:numRef>
          </c:val>
          <c:smooth val="0"/>
          <c:extLst xmlns:c16r2="http://schemas.microsoft.com/office/drawing/2015/06/chart">
            <c:ext xmlns:c16="http://schemas.microsoft.com/office/drawing/2014/chart" uri="{C3380CC4-5D6E-409C-BE32-E72D297353CC}">
              <c16:uniqueId val="{00000004-5E41-41B3-8514-69D197486890}"/>
            </c:ext>
          </c:extLst>
        </c:ser>
        <c:dLbls>
          <c:showLegendKey val="0"/>
          <c:showVal val="0"/>
          <c:showCatName val="0"/>
          <c:showSerName val="0"/>
          <c:showPercent val="0"/>
          <c:showBubbleSize val="0"/>
        </c:dLbls>
        <c:marker val="1"/>
        <c:smooth val="0"/>
        <c:axId val="-1663432752"/>
        <c:axId val="-1440601008"/>
      </c:lineChart>
      <c:catAx>
        <c:axId val="-1663432752"/>
        <c:scaling>
          <c:orientation val="minMax"/>
        </c:scaling>
        <c:delete val="0"/>
        <c:axPos val="b"/>
        <c:numFmt formatCode="0_ ;[Red]\-0\ " sourceLinked="1"/>
        <c:majorTickMark val="out"/>
        <c:minorTickMark val="none"/>
        <c:tickLblPos val="nextTo"/>
        <c:crossAx val="-1440601008"/>
        <c:crosses val="autoZero"/>
        <c:auto val="1"/>
        <c:lblAlgn val="ctr"/>
        <c:lblOffset val="100"/>
        <c:tickLblSkip val="1"/>
        <c:noMultiLvlLbl val="0"/>
      </c:catAx>
      <c:valAx>
        <c:axId val="-1440601008"/>
        <c:scaling>
          <c:orientation val="minMax"/>
        </c:scaling>
        <c:delete val="0"/>
        <c:axPos val="l"/>
        <c:majorGridlines/>
        <c:numFmt formatCode="#,##0_ ;[Red]\-#,##0\ " sourceLinked="0"/>
        <c:majorTickMark val="out"/>
        <c:minorTickMark val="none"/>
        <c:tickLblPos val="nextTo"/>
        <c:crossAx val="-166343275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10</xdr:col>
      <xdr:colOff>238125</xdr:colOff>
      <xdr:row>0</xdr:row>
      <xdr:rowOff>0</xdr:rowOff>
    </xdr:from>
    <xdr:to>
      <xdr:col>14</xdr:col>
      <xdr:colOff>178594</xdr:colOff>
      <xdr:row>5</xdr:row>
      <xdr:rowOff>7937</xdr:rowOff>
    </xdr:to>
    <xdr:pic>
      <xdr:nvPicPr>
        <xdr:cNvPr id="7" name="Picture 6" descr="ESA Dark Bl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5531" y="0"/>
          <a:ext cx="2321719" cy="103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581025</xdr:colOff>
      <xdr:row>1</xdr:row>
      <xdr:rowOff>133351</xdr:rowOff>
    </xdr:from>
    <xdr:ext cx="4564198" cy="264560"/>
    <xdr:sp macro="" textlink="">
      <xdr:nvSpPr>
        <xdr:cNvPr id="2" name="TextBox 1"/>
        <xdr:cNvSpPr txBox="1"/>
      </xdr:nvSpPr>
      <xdr:spPr>
        <a:xfrm>
          <a:off x="6712744" y="371476"/>
          <a:ext cx="4564198" cy="26456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chemeClr val="bg1"/>
              </a:solidFill>
            </a:rPr>
            <a:t>WARNING:</a:t>
          </a:r>
          <a:r>
            <a:rPr lang="en-GB" sz="1100" b="1" baseline="0">
              <a:solidFill>
                <a:schemeClr val="bg1"/>
              </a:solidFill>
            </a:rPr>
            <a:t>  DO NOT MOVE POSITION OF THE TABLES IN THIS WORKSHEET!</a:t>
          </a:r>
          <a:endParaRPr lang="en-GB" sz="1100" b="1">
            <a:solidFill>
              <a:schemeClr val="bg1"/>
            </a:solidFill>
          </a:endParaRPr>
        </a:p>
      </xdr:txBody>
    </xdr:sp>
    <xdr:clientData/>
  </xdr:oneCellAnchor>
  <xdr:twoCellAnchor>
    <xdr:from>
      <xdr:col>1</xdr:col>
      <xdr:colOff>190499</xdr:colOff>
      <xdr:row>37</xdr:row>
      <xdr:rowOff>95251</xdr:rowOff>
    </xdr:from>
    <xdr:to>
      <xdr:col>2</xdr:col>
      <xdr:colOff>501762</xdr:colOff>
      <xdr:row>41</xdr:row>
      <xdr:rowOff>297656</xdr:rowOff>
    </xdr:to>
    <xdr:sp macro="[0]!HideGreyCol_I" textlink="">
      <xdr:nvSpPr>
        <xdr:cNvPr id="3" name="Rounded Rectangle 2"/>
        <xdr:cNvSpPr/>
      </xdr:nvSpPr>
      <xdr:spPr>
        <a:xfrm>
          <a:off x="654843" y="7060407"/>
          <a:ext cx="1894794" cy="892968"/>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Press to Hide/Refresh</a:t>
          </a:r>
          <a:br>
            <a:rPr lang="en-GB" sz="1100"/>
          </a:br>
          <a:r>
            <a:rPr lang="en-GB" sz="1100"/>
            <a:t>Grey Columns in Commercial Exploitation Phase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59531</xdr:colOff>
      <xdr:row>44</xdr:row>
      <xdr:rowOff>6804</xdr:rowOff>
    </xdr:from>
    <xdr:to>
      <xdr:col>16</xdr:col>
      <xdr:colOff>712674</xdr:colOff>
      <xdr:row>60</xdr:row>
      <xdr:rowOff>146276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1687286</xdr:colOff>
      <xdr:row>40</xdr:row>
      <xdr:rowOff>54428</xdr:rowOff>
    </xdr:from>
    <xdr:to>
      <xdr:col>2</xdr:col>
      <xdr:colOff>1129393</xdr:colOff>
      <xdr:row>43</xdr:row>
      <xdr:rowOff>122463</xdr:rowOff>
    </xdr:to>
    <xdr:sp macro="[0]!HideGreyCol_IV" textlink="">
      <xdr:nvSpPr>
        <xdr:cNvPr id="6" name="Rounded Rectangle 5"/>
        <xdr:cNvSpPr/>
      </xdr:nvSpPr>
      <xdr:spPr>
        <a:xfrm>
          <a:off x="2272393" y="6667499"/>
          <a:ext cx="1905000" cy="557893"/>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Press to Hide/Refresh</a:t>
          </a:r>
          <a:br>
            <a:rPr lang="en-GB" sz="1100"/>
          </a:br>
          <a:r>
            <a:rPr lang="en-GB" sz="1100"/>
            <a:t>Grey Columns</a:t>
          </a:r>
        </a:p>
      </xdr:txBody>
    </xdr:sp>
    <xdr:clientData/>
  </xdr:twoCellAnchor>
  <xdr:twoCellAnchor>
    <xdr:from>
      <xdr:col>11</xdr:col>
      <xdr:colOff>112258</xdr:colOff>
      <xdr:row>68</xdr:row>
      <xdr:rowOff>153080</xdr:rowOff>
    </xdr:from>
    <xdr:to>
      <xdr:col>16</xdr:col>
      <xdr:colOff>765401</xdr:colOff>
      <xdr:row>85</xdr:row>
      <xdr:rowOff>125866</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ele%20Castorina/Documents/ESA/Technical%20Material/Business%20Model-Two%20Way%20Satellite%20Market%20Tool%20EuroConsult%20Files/Two-Way%20Satellite%20Market%20Survey%20-%20Feature%20Evaluation%20Too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assumptions"/>
      <sheetName val="segments"/>
      <sheetName val="features"/>
      <sheetName val="subscribers"/>
      <sheetName val="OPEX"/>
      <sheetName val="CAPEX"/>
      <sheetName val="income statement"/>
      <sheetName val="graphical resul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ssr.esa.int/license/esa-software-community-license-type-3-v1-1" TargetMode="External"/><Relationship Id="rId2" Type="http://schemas.openxmlformats.org/officeDocument/2006/relationships/printerSettings" Target="../printerSettings/printerSettings1.bin"/><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5" tint="0.59999389629810485"/>
  </sheetPr>
  <dimension ref="A1:S91"/>
  <sheetViews>
    <sheetView topLeftCell="A35" workbookViewId="0">
      <selection activeCell="L14" sqref="L14"/>
    </sheetView>
  </sheetViews>
  <sheetFormatPr baseColWidth="10" defaultColWidth="8.83203125" defaultRowHeight="13" x14ac:dyDescent="0.15"/>
  <cols>
    <col min="1" max="1" width="4.5" style="18" customWidth="1"/>
    <col min="2" max="2" width="8.83203125" style="4"/>
    <col min="3" max="3" width="11.6640625" style="4" customWidth="1"/>
    <col min="4" max="4" width="5.1640625" style="4" customWidth="1"/>
    <col min="5" max="5" width="8.83203125" style="4"/>
    <col min="6" max="6" width="10.6640625" style="4" customWidth="1"/>
    <col min="7" max="8" width="8.83203125" style="4"/>
    <col min="9" max="9" width="11.83203125" style="4" customWidth="1"/>
    <col min="10" max="10" width="10.33203125" style="4" customWidth="1"/>
    <col min="11" max="16384" width="8.83203125" style="4"/>
  </cols>
  <sheetData>
    <row r="1" spans="1:18" ht="28" x14ac:dyDescent="0.3">
      <c r="A1" s="17"/>
      <c r="B1" s="5"/>
      <c r="C1" s="14" t="s">
        <v>9</v>
      </c>
      <c r="D1" s="5"/>
      <c r="E1" s="5"/>
      <c r="F1" s="5"/>
      <c r="G1" s="5"/>
      <c r="H1" s="5"/>
      <c r="I1" s="5"/>
      <c r="J1" s="5"/>
      <c r="K1" s="5"/>
      <c r="L1" s="5"/>
      <c r="M1" s="5"/>
      <c r="N1" s="5"/>
      <c r="O1" s="5"/>
      <c r="P1" s="5"/>
    </row>
    <row r="2" spans="1:18" x14ac:dyDescent="0.15">
      <c r="A2" s="17"/>
      <c r="B2" s="5"/>
      <c r="C2" s="5"/>
      <c r="D2" s="5"/>
      <c r="E2" s="5"/>
      <c r="F2" s="5"/>
      <c r="G2" s="5"/>
      <c r="H2" s="5"/>
      <c r="I2" s="5"/>
      <c r="J2" s="5"/>
      <c r="K2" s="5"/>
      <c r="L2" s="5"/>
      <c r="M2" s="5"/>
      <c r="N2" s="5"/>
      <c r="O2" s="5"/>
      <c r="P2" s="5"/>
    </row>
    <row r="3" spans="1:18" x14ac:dyDescent="0.15">
      <c r="A3" s="17"/>
      <c r="B3" s="5"/>
      <c r="C3" s="5"/>
      <c r="D3" s="5"/>
      <c r="E3" s="5"/>
      <c r="F3" s="5"/>
      <c r="G3" s="5"/>
      <c r="H3" s="5"/>
      <c r="I3" s="5"/>
      <c r="J3" s="5"/>
      <c r="K3"/>
      <c r="L3" s="5"/>
      <c r="M3" s="5"/>
      <c r="N3" s="5"/>
      <c r="O3" s="5"/>
      <c r="P3" s="5"/>
    </row>
    <row r="4" spans="1:18" x14ac:dyDescent="0.15">
      <c r="A4" s="17"/>
      <c r="B4" s="5"/>
      <c r="C4" s="5"/>
      <c r="D4" s="5"/>
      <c r="E4" s="5"/>
      <c r="F4" s="5"/>
      <c r="G4" s="5"/>
      <c r="H4" s="5"/>
      <c r="I4" s="5"/>
      <c r="J4" s="5"/>
      <c r="K4" s="5"/>
      <c r="L4" s="5"/>
      <c r="M4" s="5"/>
      <c r="N4" s="5"/>
      <c r="O4" s="5"/>
      <c r="P4" s="5"/>
      <c r="R4"/>
    </row>
    <row r="5" spans="1:18" x14ac:dyDescent="0.15">
      <c r="A5" s="17"/>
      <c r="B5" s="5"/>
      <c r="C5" s="5" t="s">
        <v>32</v>
      </c>
      <c r="D5" s="5"/>
      <c r="E5" s="5"/>
      <c r="F5" s="5"/>
      <c r="G5" s="5"/>
      <c r="H5" s="5"/>
      <c r="I5" s="5"/>
      <c r="J5" s="15"/>
      <c r="K5" s="5"/>
      <c r="L5" s="5"/>
      <c r="M5" s="5"/>
      <c r="N5" s="5"/>
      <c r="O5" s="5"/>
      <c r="P5" s="5"/>
    </row>
    <row r="6" spans="1:18" x14ac:dyDescent="0.15">
      <c r="A6" s="17"/>
      <c r="B6" s="5"/>
      <c r="C6" s="5" t="s">
        <v>46</v>
      </c>
      <c r="D6" s="5"/>
      <c r="E6" s="5"/>
      <c r="F6" s="5"/>
      <c r="G6" s="5"/>
      <c r="H6" s="5"/>
      <c r="I6" s="5"/>
      <c r="J6" s="15"/>
      <c r="K6" s="5"/>
      <c r="L6" s="5"/>
      <c r="M6" s="5"/>
      <c r="N6" s="5"/>
      <c r="O6" s="5"/>
      <c r="P6" s="5"/>
    </row>
    <row r="7" spans="1:18" x14ac:dyDescent="0.15">
      <c r="A7" s="17"/>
      <c r="B7" s="5"/>
      <c r="C7" s="5"/>
      <c r="D7" s="5"/>
      <c r="E7" s="5"/>
      <c r="F7" s="5"/>
      <c r="G7" s="5"/>
      <c r="H7"/>
      <c r="I7" s="5"/>
      <c r="J7" s="15"/>
      <c r="K7" s="5"/>
      <c r="L7" s="5"/>
      <c r="M7" s="5"/>
      <c r="N7" s="5"/>
      <c r="O7" s="5"/>
      <c r="P7" s="5"/>
    </row>
    <row r="8" spans="1:18" x14ac:dyDescent="0.15">
      <c r="A8" s="17"/>
      <c r="B8" s="5"/>
      <c r="C8" s="5" t="s">
        <v>33</v>
      </c>
      <c r="D8" s="5"/>
      <c r="E8" s="5"/>
      <c r="F8" s="5"/>
      <c r="G8" s="5"/>
      <c r="H8" s="5"/>
      <c r="I8" s="5"/>
      <c r="J8" s="5"/>
      <c r="K8" s="5"/>
      <c r="L8" s="5"/>
      <c r="M8" s="5"/>
      <c r="N8" s="5"/>
      <c r="O8" s="5"/>
      <c r="P8" s="5"/>
    </row>
    <row r="9" spans="1:18" x14ac:dyDescent="0.15">
      <c r="A9" s="17"/>
      <c r="B9" s="5"/>
      <c r="C9" s="5" t="s">
        <v>25</v>
      </c>
      <c r="D9" s="5"/>
      <c r="E9" s="5"/>
      <c r="F9" s="5"/>
      <c r="G9" s="5"/>
      <c r="H9" s="5"/>
      <c r="I9" s="5"/>
      <c r="J9" s="5"/>
      <c r="K9" s="5"/>
      <c r="L9" s="5"/>
      <c r="M9" s="5"/>
      <c r="N9" s="5"/>
      <c r="O9" s="5"/>
      <c r="P9" s="5"/>
    </row>
    <row r="10" spans="1:18" x14ac:dyDescent="0.15">
      <c r="A10" s="17"/>
      <c r="B10" s="5"/>
      <c r="C10" s="5" t="s">
        <v>47</v>
      </c>
      <c r="D10" s="5"/>
      <c r="E10" s="5"/>
      <c r="F10" s="5"/>
      <c r="G10" s="5"/>
      <c r="H10" s="5"/>
      <c r="I10" s="5"/>
      <c r="J10" s="5"/>
      <c r="K10" s="5"/>
      <c r="L10" s="5"/>
      <c r="M10" s="5"/>
      <c r="N10" s="5"/>
      <c r="O10" s="5"/>
      <c r="P10" s="5"/>
    </row>
    <row r="11" spans="1:18" x14ac:dyDescent="0.15">
      <c r="A11" s="17"/>
      <c r="B11" s="6"/>
      <c r="C11" s="5"/>
      <c r="D11" s="6"/>
      <c r="E11" s="6"/>
      <c r="F11" s="6"/>
      <c r="G11" s="6"/>
      <c r="H11" s="5"/>
      <c r="I11" s="5"/>
      <c r="J11" s="5"/>
      <c r="K11" s="5"/>
      <c r="L11" s="5"/>
      <c r="M11" s="5"/>
      <c r="N11" s="5"/>
      <c r="O11" s="5"/>
      <c r="P11" s="5"/>
    </row>
    <row r="12" spans="1:18" x14ac:dyDescent="0.15">
      <c r="A12" s="17"/>
      <c r="B12" s="6"/>
      <c r="C12" s="5"/>
      <c r="D12" s="6"/>
      <c r="E12" s="6"/>
      <c r="F12" s="6"/>
      <c r="G12" s="6"/>
      <c r="H12" s="5"/>
      <c r="I12" s="5"/>
      <c r="J12" s="5"/>
      <c r="K12" s="5"/>
      <c r="L12" s="5"/>
      <c r="M12" s="5"/>
      <c r="N12" s="5"/>
      <c r="O12" s="5"/>
      <c r="P12" s="5"/>
    </row>
    <row r="13" spans="1:18" x14ac:dyDescent="0.15">
      <c r="A13" s="142"/>
      <c r="B13" s="6"/>
      <c r="C13" s="5"/>
      <c r="D13" s="6"/>
      <c r="E13" s="6"/>
      <c r="F13" s="6"/>
      <c r="G13" s="6"/>
      <c r="H13" s="5"/>
      <c r="I13" s="5"/>
      <c r="J13" s="5"/>
      <c r="K13" s="5"/>
      <c r="L13" s="5"/>
      <c r="M13" s="5"/>
      <c r="N13" s="5"/>
      <c r="O13" s="5"/>
      <c r="P13" s="5"/>
    </row>
    <row r="14" spans="1:18" ht="16" x14ac:dyDescent="0.2">
      <c r="A14" s="17"/>
      <c r="B14" s="6"/>
      <c r="C14" s="16" t="s">
        <v>232</v>
      </c>
      <c r="D14" s="6"/>
      <c r="E14" s="6"/>
      <c r="F14" s="6"/>
      <c r="G14" s="6"/>
      <c r="H14" s="5"/>
      <c r="I14" s="5"/>
      <c r="J14" s="5"/>
      <c r="K14" s="5"/>
      <c r="L14" s="5"/>
      <c r="M14" s="5"/>
      <c r="N14" s="5"/>
      <c r="O14" s="5"/>
      <c r="P14" s="5"/>
    </row>
    <row r="15" spans="1:18" ht="15" x14ac:dyDescent="0.2">
      <c r="A15" s="17"/>
      <c r="B15" s="6"/>
      <c r="C15" s="379">
        <v>42878</v>
      </c>
      <c r="D15" s="380"/>
      <c r="E15" s="6"/>
      <c r="F15" s="6"/>
      <c r="G15" s="6"/>
      <c r="H15" s="5"/>
      <c r="I15" s="5"/>
      <c r="J15" s="5"/>
      <c r="K15" s="5"/>
      <c r="L15" s="5"/>
      <c r="M15" s="5"/>
      <c r="N15" s="5"/>
      <c r="O15" s="5"/>
      <c r="P15" s="5"/>
    </row>
    <row r="16" spans="1:18" ht="16" x14ac:dyDescent="0.2">
      <c r="A16" s="5"/>
      <c r="B16" s="5"/>
      <c r="C16" s="19"/>
      <c r="D16" s="27"/>
      <c r="E16" s="27"/>
      <c r="F16" s="27"/>
      <c r="G16" s="27"/>
      <c r="H16" s="27"/>
      <c r="I16" s="27"/>
      <c r="J16" s="5"/>
      <c r="K16" s="5"/>
      <c r="L16" s="5"/>
      <c r="M16" s="5"/>
      <c r="N16" s="5"/>
      <c r="O16" s="5"/>
      <c r="P16" s="5"/>
    </row>
    <row r="17" spans="1:16" ht="17" thickBot="1" x14ac:dyDescent="0.25">
      <c r="A17" s="5"/>
      <c r="B17" s="5"/>
      <c r="C17" s="19"/>
      <c r="D17" s="27"/>
      <c r="E17" s="27"/>
      <c r="F17" s="27"/>
      <c r="G17" s="27"/>
      <c r="H17" s="27"/>
      <c r="I17" s="27"/>
      <c r="J17" s="5"/>
      <c r="K17" s="5"/>
      <c r="L17" s="5"/>
      <c r="M17" s="5"/>
      <c r="N17" s="5"/>
      <c r="O17" s="5"/>
      <c r="P17" s="5"/>
    </row>
    <row r="18" spans="1:16" ht="14" thickTop="1" x14ac:dyDescent="0.15">
      <c r="A18" s="5"/>
      <c r="B18" s="5"/>
      <c r="C18" s="235" t="s">
        <v>8</v>
      </c>
      <c r="D18" s="83"/>
      <c r="E18" s="83"/>
      <c r="F18" s="83"/>
      <c r="G18" s="83"/>
      <c r="H18" s="83"/>
      <c r="I18" s="84"/>
      <c r="J18" s="5"/>
      <c r="K18" s="5"/>
      <c r="L18" s="5"/>
      <c r="M18" s="5"/>
      <c r="N18" s="5"/>
      <c r="O18" s="5"/>
      <c r="P18" s="5"/>
    </row>
    <row r="19" spans="1:16" x14ac:dyDescent="0.15">
      <c r="A19" s="17"/>
      <c r="B19" s="5"/>
      <c r="C19" s="236" t="s">
        <v>38</v>
      </c>
      <c r="D19" s="12"/>
      <c r="E19" s="12"/>
      <c r="F19" s="12"/>
      <c r="G19" s="12"/>
      <c r="H19" s="12"/>
      <c r="I19" s="85"/>
      <c r="J19" s="5"/>
      <c r="K19" s="5"/>
      <c r="L19" s="5"/>
      <c r="M19" s="5"/>
      <c r="N19" s="5"/>
      <c r="O19" s="5"/>
      <c r="P19" s="5"/>
    </row>
    <row r="20" spans="1:16" x14ac:dyDescent="0.15">
      <c r="A20" s="17"/>
      <c r="B20" s="5"/>
      <c r="C20" s="236" t="s">
        <v>7</v>
      </c>
      <c r="D20" s="12"/>
      <c r="E20" s="12"/>
      <c r="F20" s="12"/>
      <c r="G20" s="12"/>
      <c r="H20" s="12"/>
      <c r="I20" s="85"/>
      <c r="J20" s="5"/>
      <c r="K20" s="5"/>
      <c r="L20" s="5"/>
      <c r="M20" s="5"/>
      <c r="N20" s="5"/>
      <c r="O20" s="5"/>
      <c r="P20" s="5"/>
    </row>
    <row r="21" spans="1:16" ht="14" thickBot="1" x14ac:dyDescent="0.2">
      <c r="A21" s="17"/>
      <c r="B21" s="5"/>
      <c r="C21" s="237" t="s">
        <v>39</v>
      </c>
      <c r="D21" s="86"/>
      <c r="E21" s="86"/>
      <c r="F21" s="86"/>
      <c r="G21" s="86"/>
      <c r="H21" s="86"/>
      <c r="I21" s="87"/>
      <c r="J21" s="5"/>
      <c r="K21" s="5"/>
      <c r="L21" s="5"/>
      <c r="M21" s="5"/>
      <c r="N21" s="5"/>
      <c r="O21" s="5"/>
      <c r="P21" s="5"/>
    </row>
    <row r="22" spans="1:16" ht="14" thickTop="1" x14ac:dyDescent="0.15">
      <c r="A22" s="17"/>
      <c r="B22" s="5"/>
      <c r="C22" s="27"/>
      <c r="D22" s="12"/>
      <c r="E22" s="12"/>
      <c r="F22" s="12"/>
      <c r="G22" s="12"/>
      <c r="H22" s="12"/>
      <c r="I22" s="12"/>
      <c r="J22" s="5"/>
      <c r="K22" s="5"/>
      <c r="L22" s="5"/>
      <c r="M22" s="5"/>
      <c r="N22" s="5"/>
      <c r="O22" s="5"/>
      <c r="P22" s="5"/>
    </row>
    <row r="23" spans="1:16" x14ac:dyDescent="0.15">
      <c r="A23" s="17"/>
      <c r="B23" s="5"/>
      <c r="C23" s="27"/>
      <c r="D23" s="12"/>
      <c r="E23" s="12"/>
      <c r="F23" s="12"/>
      <c r="G23" s="12"/>
      <c r="H23" s="12"/>
      <c r="I23" s="12"/>
      <c r="J23" s="5"/>
      <c r="K23" s="5"/>
      <c r="L23" s="5"/>
      <c r="M23" s="5"/>
      <c r="N23" s="5"/>
      <c r="O23" s="5"/>
      <c r="P23" s="5"/>
    </row>
    <row r="24" spans="1:16" x14ac:dyDescent="0.15">
      <c r="A24" s="17"/>
      <c r="B24" s="5"/>
      <c r="C24" s="27"/>
      <c r="D24" s="6"/>
      <c r="E24" s="6"/>
      <c r="F24" s="6"/>
      <c r="G24" s="6"/>
      <c r="H24" s="6"/>
      <c r="I24" s="6"/>
      <c r="J24" s="5"/>
      <c r="K24" s="5"/>
      <c r="L24" s="5"/>
      <c r="M24" s="5"/>
      <c r="N24" s="5"/>
      <c r="O24" s="5"/>
      <c r="P24" s="5"/>
    </row>
    <row r="25" spans="1:16" s="44" customFormat="1" ht="19" thickBot="1" x14ac:dyDescent="0.25">
      <c r="A25" s="54" t="s">
        <v>76</v>
      </c>
      <c r="B25" s="88" t="s">
        <v>44</v>
      </c>
      <c r="C25" s="81"/>
      <c r="D25" s="82"/>
      <c r="E25" s="82"/>
      <c r="F25" s="82"/>
      <c r="G25" s="82"/>
      <c r="H25" s="82"/>
      <c r="I25" s="82"/>
      <c r="J25" s="82"/>
    </row>
    <row r="26" spans="1:16" ht="12.75" customHeight="1" x14ac:dyDescent="0.15">
      <c r="A26" s="5"/>
      <c r="B26" s="55"/>
      <c r="C26" s="5"/>
      <c r="D26" s="5"/>
      <c r="E26" s="5"/>
      <c r="F26" s="5"/>
      <c r="G26" s="5"/>
      <c r="H26" s="5"/>
      <c r="I26" s="5"/>
      <c r="J26" s="5"/>
      <c r="K26" s="5"/>
      <c r="L26" s="5"/>
      <c r="M26" s="5"/>
      <c r="N26" s="5"/>
      <c r="O26" s="5"/>
      <c r="P26" s="5"/>
    </row>
    <row r="27" spans="1:16" ht="12.75" customHeight="1" x14ac:dyDescent="0.15">
      <c r="A27" s="5"/>
      <c r="B27" s="5" t="s">
        <v>35</v>
      </c>
      <c r="C27" s="25"/>
      <c r="D27" s="5"/>
      <c r="E27" s="5"/>
      <c r="F27" s="5"/>
      <c r="G27" s="5"/>
      <c r="H27" s="5"/>
      <c r="I27" s="5"/>
      <c r="J27" s="5"/>
      <c r="K27" s="5"/>
      <c r="L27" s="5"/>
      <c r="M27" s="5"/>
      <c r="N27" s="5"/>
      <c r="O27" s="5"/>
      <c r="P27" s="5"/>
    </row>
    <row r="28" spans="1:16" ht="12.75" customHeight="1" x14ac:dyDescent="0.15">
      <c r="A28" s="5"/>
      <c r="B28" s="5" t="s">
        <v>37</v>
      </c>
      <c r="C28" s="5"/>
      <c r="D28" s="5"/>
      <c r="E28" s="5"/>
      <c r="F28" s="5"/>
      <c r="G28" s="5"/>
      <c r="H28" s="5"/>
      <c r="I28" s="5"/>
      <c r="J28" s="5"/>
      <c r="K28" s="5"/>
      <c r="L28" s="5"/>
      <c r="M28" s="5"/>
      <c r="N28" s="5"/>
      <c r="O28" s="5"/>
      <c r="P28" s="5"/>
    </row>
    <row r="29" spans="1:16" ht="14" x14ac:dyDescent="0.15">
      <c r="A29" s="20"/>
      <c r="B29" s="134"/>
      <c r="C29" s="5"/>
      <c r="D29" s="5"/>
      <c r="E29" s="5"/>
      <c r="F29" s="5"/>
      <c r="G29" s="5"/>
      <c r="H29" s="5"/>
      <c r="I29" s="5"/>
      <c r="J29" s="5"/>
      <c r="K29" s="5"/>
      <c r="L29" s="5"/>
      <c r="M29" s="5"/>
      <c r="N29" s="5"/>
      <c r="O29" s="5"/>
      <c r="P29" s="5"/>
    </row>
    <row r="30" spans="1:16" ht="14" x14ac:dyDescent="0.15">
      <c r="A30" s="20"/>
      <c r="B30" s="89" t="s">
        <v>191</v>
      </c>
      <c r="C30" s="5"/>
      <c r="D30" s="5"/>
      <c r="E30" s="5"/>
      <c r="F30" s="5"/>
      <c r="G30" s="5"/>
      <c r="H30" s="5"/>
      <c r="I30" s="5"/>
      <c r="J30" s="5"/>
      <c r="K30" s="5"/>
      <c r="L30" s="5"/>
      <c r="M30" s="5"/>
      <c r="N30" s="5"/>
      <c r="O30" s="5"/>
      <c r="P30" s="5"/>
    </row>
    <row r="31" spans="1:16" ht="14" x14ac:dyDescent="0.15">
      <c r="A31" s="20"/>
      <c r="B31" s="295"/>
      <c r="C31" s="5" t="s">
        <v>194</v>
      </c>
      <c r="D31" s="5"/>
      <c r="E31" s="5"/>
      <c r="F31" s="5"/>
      <c r="G31" s="5"/>
      <c r="H31" s="5"/>
      <c r="I31" s="5"/>
      <c r="J31" s="5"/>
      <c r="K31" s="5"/>
      <c r="L31" s="5"/>
      <c r="M31" s="5"/>
      <c r="N31" s="5"/>
      <c r="O31" s="5"/>
      <c r="P31" s="5"/>
    </row>
    <row r="32" spans="1:16" ht="14" x14ac:dyDescent="0.15">
      <c r="A32" s="20"/>
      <c r="B32" s="296"/>
      <c r="C32" s="5" t="s">
        <v>193</v>
      </c>
      <c r="D32" s="5"/>
      <c r="E32" s="5"/>
      <c r="F32" s="5"/>
      <c r="G32" s="5"/>
      <c r="H32" s="5"/>
      <c r="I32" s="5"/>
      <c r="J32" s="5"/>
      <c r="K32" s="5"/>
      <c r="L32" s="5"/>
      <c r="M32" s="5"/>
      <c r="N32" s="5"/>
      <c r="O32" s="5"/>
      <c r="P32" s="5"/>
    </row>
    <row r="33" spans="1:16" ht="14" x14ac:dyDescent="0.15">
      <c r="A33" s="20"/>
      <c r="B33" s="294"/>
      <c r="C33" s="5" t="s">
        <v>192</v>
      </c>
      <c r="D33" s="5"/>
      <c r="E33" s="5"/>
      <c r="F33" s="5"/>
      <c r="G33" s="5"/>
      <c r="H33" s="5"/>
      <c r="I33" s="5"/>
      <c r="J33" s="5"/>
      <c r="K33" s="5"/>
      <c r="L33" s="5"/>
      <c r="M33" s="5"/>
      <c r="N33" s="5"/>
      <c r="O33" s="5"/>
      <c r="P33" s="5"/>
    </row>
    <row r="34" spans="1:16" ht="14" x14ac:dyDescent="0.15">
      <c r="A34" s="20"/>
      <c r="B34" s="5"/>
      <c r="C34" s="5"/>
      <c r="D34" s="5"/>
      <c r="E34" s="5"/>
      <c r="F34" s="5"/>
      <c r="G34" s="5"/>
      <c r="H34" s="5"/>
      <c r="I34" s="5"/>
      <c r="J34" s="5"/>
      <c r="K34" s="5"/>
      <c r="L34" s="5"/>
      <c r="M34" s="5"/>
      <c r="N34" s="5"/>
      <c r="O34" s="5"/>
      <c r="P34" s="5"/>
    </row>
    <row r="35" spans="1:16" x14ac:dyDescent="0.15">
      <c r="A35" s="46"/>
      <c r="B35" s="89" t="s">
        <v>57</v>
      </c>
      <c r="C35" s="5"/>
      <c r="D35" s="5"/>
      <c r="E35" s="5"/>
      <c r="F35" s="5"/>
      <c r="G35" s="5"/>
      <c r="H35" s="5"/>
      <c r="I35" s="5"/>
      <c r="J35" s="5"/>
      <c r="K35" s="5"/>
      <c r="L35" s="5"/>
      <c r="M35" s="5"/>
      <c r="N35" s="5"/>
      <c r="O35" s="5"/>
      <c r="P35" s="5"/>
    </row>
    <row r="36" spans="1:16" x14ac:dyDescent="0.15">
      <c r="A36" s="46"/>
      <c r="B36" s="5" t="s">
        <v>58</v>
      </c>
      <c r="C36" s="28"/>
      <c r="D36" s="5"/>
      <c r="E36" s="5"/>
      <c r="F36" s="5"/>
      <c r="G36" s="5"/>
      <c r="H36" s="5"/>
      <c r="I36" s="5"/>
      <c r="J36" s="5"/>
      <c r="K36" s="5"/>
      <c r="L36" s="5"/>
      <c r="M36" s="5"/>
      <c r="N36" s="5"/>
      <c r="O36" s="5"/>
      <c r="P36" s="5"/>
    </row>
    <row r="37" spans="1:16" x14ac:dyDescent="0.15">
      <c r="A37" s="46"/>
      <c r="B37" s="5"/>
      <c r="C37" s="28"/>
      <c r="D37" s="5"/>
      <c r="E37" s="5"/>
      <c r="F37" s="5"/>
      <c r="G37" s="5"/>
      <c r="H37" s="5"/>
      <c r="I37" s="5"/>
      <c r="J37" s="5"/>
      <c r="K37" s="5"/>
      <c r="L37" s="5"/>
      <c r="M37" s="5"/>
      <c r="N37" s="5"/>
      <c r="O37" s="5"/>
      <c r="P37" s="5"/>
    </row>
    <row r="38" spans="1:16" s="2" customFormat="1" x14ac:dyDescent="0.15">
      <c r="A38" s="116"/>
      <c r="B38" s="23" t="s">
        <v>40</v>
      </c>
      <c r="C38" s="5"/>
      <c r="D38" s="23"/>
      <c r="E38" s="23"/>
      <c r="F38" s="23"/>
      <c r="G38" s="23"/>
      <c r="H38" s="23"/>
      <c r="I38" s="23"/>
      <c r="J38" s="23"/>
      <c r="K38" s="23"/>
      <c r="L38" s="23"/>
      <c r="M38" s="23"/>
      <c r="N38" s="23"/>
      <c r="O38" s="23"/>
      <c r="P38" s="23"/>
    </row>
    <row r="39" spans="1:16" x14ac:dyDescent="0.15">
      <c r="A39" s="46"/>
      <c r="B39" s="6" t="s">
        <v>180</v>
      </c>
      <c r="C39" s="5"/>
      <c r="D39" s="5"/>
      <c r="E39" s="5"/>
      <c r="F39" s="5"/>
      <c r="G39" s="5"/>
      <c r="H39" s="5"/>
      <c r="I39" s="5"/>
      <c r="J39" s="5"/>
      <c r="K39" s="5"/>
      <c r="L39" s="5"/>
      <c r="M39" s="5"/>
      <c r="N39" s="5"/>
      <c r="O39" s="5"/>
      <c r="P39" s="5"/>
    </row>
    <row r="40" spans="1:16" s="2" customFormat="1" x14ac:dyDescent="0.15">
      <c r="A40" s="116"/>
      <c r="B40" s="23"/>
      <c r="C40" s="5"/>
      <c r="D40" s="23"/>
      <c r="E40" s="23"/>
      <c r="F40" s="23"/>
      <c r="G40" s="23"/>
      <c r="H40" s="23"/>
      <c r="I40" s="23"/>
      <c r="J40" s="23"/>
      <c r="K40" s="23"/>
      <c r="L40" s="23"/>
      <c r="M40" s="23"/>
      <c r="N40" s="23"/>
      <c r="O40" s="23"/>
      <c r="P40" s="23"/>
    </row>
    <row r="41" spans="1:16" s="2" customFormat="1" x14ac:dyDescent="0.15">
      <c r="A41" s="116"/>
      <c r="B41" s="23" t="s">
        <v>41</v>
      </c>
      <c r="C41" s="23"/>
      <c r="D41" s="23"/>
      <c r="E41" s="23"/>
      <c r="F41" s="23"/>
      <c r="G41" s="23"/>
      <c r="H41" s="23"/>
      <c r="I41" s="23"/>
      <c r="J41" s="23"/>
      <c r="K41" s="23"/>
      <c r="L41" s="23"/>
      <c r="M41" s="23"/>
      <c r="N41" s="23"/>
      <c r="O41" s="23"/>
      <c r="P41" s="23"/>
    </row>
    <row r="42" spans="1:16" x14ac:dyDescent="0.15">
      <c r="A42" s="46"/>
      <c r="B42" s="5" t="s">
        <v>181</v>
      </c>
      <c r="C42" s="5"/>
      <c r="D42" s="5"/>
      <c r="E42" s="5"/>
      <c r="F42" s="5"/>
      <c r="G42" s="5"/>
      <c r="H42" s="5"/>
      <c r="I42" s="5"/>
      <c r="J42" s="15"/>
      <c r="K42" s="5"/>
      <c r="L42" s="5"/>
      <c r="M42" s="5"/>
      <c r="N42" s="5"/>
      <c r="O42" s="5"/>
      <c r="P42" s="5"/>
    </row>
    <row r="43" spans="1:16" x14ac:dyDescent="0.15">
      <c r="A43" s="46"/>
      <c r="B43" s="5"/>
      <c r="C43" s="23"/>
      <c r="D43" s="5"/>
      <c r="E43" s="5"/>
      <c r="F43" s="5"/>
      <c r="G43" s="5"/>
      <c r="H43" s="5"/>
      <c r="I43" s="5"/>
      <c r="J43" s="5"/>
      <c r="K43" s="5"/>
      <c r="L43" s="5"/>
      <c r="M43" s="5"/>
      <c r="N43" s="5"/>
      <c r="O43" s="5"/>
      <c r="P43" s="5"/>
    </row>
    <row r="44" spans="1:16" s="2" customFormat="1" x14ac:dyDescent="0.15">
      <c r="A44" s="116"/>
      <c r="B44" s="38" t="s">
        <v>42</v>
      </c>
      <c r="C44" s="23"/>
      <c r="D44" s="23"/>
      <c r="E44" s="23"/>
      <c r="F44" s="23"/>
      <c r="G44" s="23"/>
      <c r="H44" s="23"/>
      <c r="I44" s="23"/>
      <c r="J44" s="23"/>
      <c r="K44" s="23"/>
      <c r="L44" s="23"/>
      <c r="M44" s="23"/>
      <c r="N44" s="23"/>
      <c r="O44" s="23"/>
      <c r="P44" s="23"/>
    </row>
    <row r="45" spans="1:16" s="3" customFormat="1" x14ac:dyDescent="0.15">
      <c r="A45" s="46"/>
      <c r="B45" s="5" t="s">
        <v>182</v>
      </c>
      <c r="C45" s="5"/>
      <c r="D45" s="5"/>
      <c r="E45" s="5"/>
      <c r="F45" s="5"/>
      <c r="G45" s="5"/>
      <c r="H45" s="5"/>
      <c r="I45" s="5"/>
      <c r="J45" s="15"/>
      <c r="K45" s="15"/>
      <c r="L45" s="15"/>
      <c r="M45" s="15"/>
      <c r="N45" s="15"/>
      <c r="O45" s="15"/>
      <c r="P45" s="15"/>
    </row>
    <row r="46" spans="1:16" s="3" customFormat="1" x14ac:dyDescent="0.15">
      <c r="A46" s="116"/>
      <c r="B46" s="134"/>
      <c r="C46" s="5"/>
      <c r="D46" s="6"/>
      <c r="E46" s="6"/>
      <c r="F46" s="6"/>
      <c r="G46" s="6"/>
      <c r="H46" s="6"/>
      <c r="I46" s="6"/>
      <c r="J46" s="24"/>
      <c r="K46" s="24"/>
      <c r="L46" s="24"/>
      <c r="M46" s="24"/>
      <c r="N46" s="15"/>
      <c r="O46" s="15"/>
      <c r="P46" s="15"/>
    </row>
    <row r="47" spans="1:16" hidden="1" x14ac:dyDescent="0.15">
      <c r="A47" s="22"/>
      <c r="B47" s="6" t="s">
        <v>183</v>
      </c>
      <c r="C47" s="5"/>
      <c r="D47" s="5"/>
      <c r="E47" s="5"/>
      <c r="F47" s="5"/>
      <c r="G47" s="5"/>
      <c r="H47" s="5"/>
      <c r="I47" s="5"/>
      <c r="J47" s="5"/>
      <c r="K47" s="5"/>
      <c r="L47" s="5"/>
      <c r="M47" s="5"/>
      <c r="N47" s="5"/>
      <c r="O47" s="5"/>
      <c r="P47" s="5"/>
    </row>
    <row r="48" spans="1:16" hidden="1" x14ac:dyDescent="0.15">
      <c r="A48" s="46"/>
      <c r="B48" s="5" t="s">
        <v>22</v>
      </c>
      <c r="C48" s="6"/>
      <c r="D48" s="5"/>
      <c r="E48" s="5"/>
      <c r="F48" s="5"/>
      <c r="G48" s="5"/>
      <c r="H48" s="5"/>
      <c r="I48" s="5"/>
      <c r="J48" s="15"/>
      <c r="K48" s="15"/>
      <c r="L48" s="5"/>
      <c r="M48" s="5"/>
      <c r="N48" s="5"/>
      <c r="O48" s="5"/>
      <c r="P48" s="5"/>
    </row>
    <row r="49" spans="1:19" hidden="1" x14ac:dyDescent="0.15">
      <c r="A49" s="17"/>
      <c r="B49" s="5" t="s">
        <v>23</v>
      </c>
      <c r="C49" s="5"/>
      <c r="D49" s="5"/>
      <c r="E49" s="6"/>
      <c r="F49" s="5"/>
      <c r="G49" s="5"/>
      <c r="H49" s="5"/>
      <c r="I49" s="5"/>
      <c r="J49" s="15"/>
      <c r="K49" s="15"/>
      <c r="L49" s="5"/>
      <c r="M49" s="5"/>
      <c r="N49" s="5"/>
      <c r="O49" s="5"/>
      <c r="P49" s="5"/>
    </row>
    <row r="50" spans="1:19" hidden="1" x14ac:dyDescent="0.15">
      <c r="A50" s="17"/>
      <c r="B50" s="5"/>
      <c r="C50" s="23"/>
      <c r="D50" s="5"/>
      <c r="E50" s="5"/>
      <c r="F50" s="5"/>
      <c r="G50" s="5"/>
      <c r="H50" s="5"/>
      <c r="I50" s="5"/>
      <c r="J50" s="5"/>
      <c r="K50" s="5"/>
      <c r="L50" s="5"/>
      <c r="M50" s="5"/>
      <c r="N50" s="5"/>
      <c r="O50" s="5"/>
      <c r="P50" s="5"/>
    </row>
    <row r="51" spans="1:19" hidden="1" x14ac:dyDescent="0.15">
      <c r="A51" s="17"/>
      <c r="B51" s="5"/>
      <c r="C51" s="5"/>
      <c r="D51" s="5"/>
      <c r="E51" s="5"/>
      <c r="F51" s="5"/>
      <c r="G51" s="5"/>
      <c r="H51" s="5"/>
      <c r="I51" s="5"/>
      <c r="J51" s="5"/>
      <c r="K51" s="5"/>
      <c r="L51" s="5"/>
      <c r="M51" s="5"/>
      <c r="N51" s="5"/>
      <c r="O51" s="5"/>
      <c r="P51" s="5"/>
    </row>
    <row r="52" spans="1:19" ht="13.5" customHeight="1" x14ac:dyDescent="0.15">
      <c r="A52" s="118"/>
      <c r="B52" s="119"/>
      <c r="C52" s="12"/>
      <c r="D52" s="12"/>
      <c r="E52" s="12"/>
      <c r="F52" s="12"/>
      <c r="G52" s="12"/>
      <c r="H52" s="12"/>
      <c r="I52" s="12"/>
      <c r="J52" s="12"/>
      <c r="K52" s="12"/>
      <c r="L52" s="12"/>
      <c r="M52" s="5"/>
      <c r="N52" s="5"/>
      <c r="O52" s="5"/>
      <c r="P52" s="5"/>
    </row>
    <row r="53" spans="1:19" ht="12.75" customHeight="1" x14ac:dyDescent="0.15">
      <c r="A53" s="12"/>
      <c r="B53" s="12"/>
      <c r="C53" s="12"/>
      <c r="D53" s="12"/>
      <c r="E53" s="12"/>
      <c r="F53" s="12"/>
      <c r="G53" s="12"/>
      <c r="H53" s="12"/>
      <c r="I53" s="12"/>
      <c r="J53" s="12"/>
      <c r="K53" s="12"/>
      <c r="L53" s="12"/>
      <c r="M53" s="5"/>
      <c r="N53" s="5"/>
      <c r="O53" s="5"/>
      <c r="P53" s="5"/>
    </row>
    <row r="54" spans="1:19" ht="12.75" hidden="1" customHeight="1" x14ac:dyDescent="0.15">
      <c r="A54" s="8"/>
      <c r="B54" s="12"/>
      <c r="C54" s="12"/>
      <c r="D54" s="12"/>
      <c r="E54" s="12"/>
      <c r="F54" s="12"/>
      <c r="G54" s="12"/>
      <c r="H54" s="12"/>
      <c r="I54" s="12"/>
      <c r="J54" s="12"/>
      <c r="K54" s="12"/>
      <c r="L54" s="12"/>
      <c r="M54" s="5"/>
      <c r="N54" s="5"/>
      <c r="O54" s="5"/>
      <c r="P54" s="5"/>
    </row>
    <row r="55" spans="1:19" ht="12.75" hidden="1" customHeight="1" x14ac:dyDescent="0.15">
      <c r="A55" s="12"/>
      <c r="B55" s="12"/>
      <c r="C55" s="238"/>
      <c r="D55" s="12"/>
      <c r="E55" s="12"/>
      <c r="F55" s="12"/>
      <c r="G55" s="12"/>
      <c r="H55" s="12"/>
      <c r="I55" s="12"/>
      <c r="J55" s="12"/>
      <c r="K55" s="12"/>
      <c r="L55" s="12"/>
      <c r="M55" s="5"/>
      <c r="N55" s="5"/>
      <c r="O55" s="5"/>
      <c r="P55" s="5"/>
    </row>
    <row r="56" spans="1:19" ht="12.75" hidden="1" customHeight="1" x14ac:dyDescent="0.15">
      <c r="A56" s="12"/>
      <c r="B56" s="12"/>
      <c r="C56" s="12"/>
      <c r="D56" s="12"/>
      <c r="E56" s="12"/>
      <c r="F56" s="12"/>
      <c r="G56" s="12"/>
      <c r="H56" s="12"/>
      <c r="I56" s="12"/>
      <c r="J56" s="117"/>
      <c r="K56" s="117"/>
      <c r="L56" s="117"/>
      <c r="M56" s="24"/>
      <c r="N56" s="24"/>
      <c r="O56" s="24"/>
      <c r="P56" s="24"/>
      <c r="Q56" s="24"/>
      <c r="R56" s="24"/>
      <c r="S56" s="24"/>
    </row>
    <row r="57" spans="1:19" ht="12.75" hidden="1" customHeight="1" x14ac:dyDescent="0.15">
      <c r="A57" s="12"/>
      <c r="B57" s="12"/>
      <c r="C57" s="12"/>
      <c r="D57" s="12"/>
      <c r="E57" s="12"/>
      <c r="F57" s="12"/>
      <c r="G57" s="12"/>
      <c r="H57" s="12"/>
      <c r="I57" s="12"/>
      <c r="J57" s="117"/>
      <c r="K57" s="117"/>
      <c r="L57" s="117"/>
      <c r="M57" s="24"/>
      <c r="N57" s="24"/>
      <c r="O57" s="24"/>
      <c r="P57" s="24"/>
      <c r="Q57" s="24"/>
      <c r="R57" s="24"/>
      <c r="S57" s="24"/>
    </row>
    <row r="58" spans="1:19" ht="12.75" hidden="1" customHeight="1" x14ac:dyDescent="0.15">
      <c r="A58" s="12"/>
      <c r="B58" s="12"/>
      <c r="C58" s="12"/>
      <c r="D58" s="12"/>
      <c r="E58" s="12"/>
      <c r="F58" s="12"/>
      <c r="G58" s="12"/>
      <c r="H58" s="12"/>
      <c r="I58" s="12"/>
      <c r="J58" s="117"/>
      <c r="K58" s="117"/>
      <c r="L58" s="117"/>
      <c r="M58" s="24"/>
      <c r="N58" s="24"/>
      <c r="O58" s="24"/>
      <c r="P58" s="24"/>
      <c r="Q58" s="24"/>
      <c r="R58" s="24"/>
      <c r="S58" s="24"/>
    </row>
    <row r="59" spans="1:19" ht="12.75" hidden="1" customHeight="1" x14ac:dyDescent="0.15">
      <c r="A59" s="12"/>
      <c r="B59" s="12"/>
      <c r="C59" s="12"/>
      <c r="D59" s="12"/>
      <c r="E59" s="12"/>
      <c r="F59" s="12"/>
      <c r="G59" s="12"/>
      <c r="H59" s="12"/>
      <c r="I59" s="12"/>
      <c r="J59" s="117"/>
      <c r="K59" s="117"/>
      <c r="L59" s="117"/>
      <c r="M59" s="24"/>
      <c r="N59" s="24"/>
      <c r="O59" s="24"/>
      <c r="P59" s="24"/>
      <c r="Q59" s="24"/>
      <c r="R59" s="24"/>
      <c r="S59" s="24"/>
    </row>
    <row r="60" spans="1:19" ht="12.75" hidden="1" customHeight="1" x14ac:dyDescent="0.15">
      <c r="A60" s="12"/>
      <c r="B60" s="12"/>
      <c r="C60" s="12"/>
      <c r="D60" s="12"/>
      <c r="E60" s="12"/>
      <c r="F60" s="12"/>
      <c r="G60" s="12"/>
      <c r="H60" s="12"/>
      <c r="I60" s="12"/>
      <c r="J60" s="117"/>
      <c r="K60" s="117"/>
      <c r="L60" s="117"/>
      <c r="M60" s="24"/>
      <c r="N60" s="24"/>
      <c r="O60" s="24"/>
      <c r="P60" s="24"/>
      <c r="Q60" s="24"/>
      <c r="R60" s="24"/>
      <c r="S60" s="24"/>
    </row>
    <row r="61" spans="1:19" ht="12.75" hidden="1" customHeight="1" x14ac:dyDescent="0.15">
      <c r="A61" s="12"/>
      <c r="B61" s="12"/>
      <c r="C61" s="12"/>
      <c r="D61" s="12"/>
      <c r="E61" s="12"/>
      <c r="F61" s="12"/>
      <c r="G61" s="12"/>
      <c r="H61" s="12"/>
      <c r="I61" s="12"/>
      <c r="J61" s="117"/>
      <c r="K61" s="117"/>
      <c r="L61" s="117"/>
      <c r="M61" s="24"/>
      <c r="N61" s="24"/>
      <c r="O61" s="24"/>
      <c r="P61" s="24"/>
      <c r="Q61" s="24"/>
      <c r="R61" s="24"/>
      <c r="S61" s="24"/>
    </row>
    <row r="62" spans="1:19" ht="12.75" hidden="1" customHeight="1" x14ac:dyDescent="0.15">
      <c r="A62" s="12"/>
      <c r="B62" s="12"/>
      <c r="C62" s="12"/>
      <c r="D62" s="12"/>
      <c r="E62" s="12"/>
      <c r="F62" s="12"/>
      <c r="G62" s="12"/>
      <c r="H62" s="12"/>
      <c r="I62" s="12"/>
      <c r="J62" s="117"/>
      <c r="K62" s="117"/>
      <c r="L62" s="117"/>
      <c r="M62" s="24"/>
      <c r="N62" s="24"/>
      <c r="O62" s="24"/>
      <c r="P62" s="24"/>
      <c r="Q62" s="24"/>
      <c r="R62" s="24"/>
      <c r="S62" s="24"/>
    </row>
    <row r="63" spans="1:19" ht="12.75" hidden="1" customHeight="1" x14ac:dyDescent="0.15">
      <c r="A63" s="12"/>
      <c r="B63" s="12"/>
      <c r="C63" s="12"/>
      <c r="D63" s="12"/>
      <c r="E63" s="12"/>
      <c r="F63" s="12"/>
      <c r="G63" s="12"/>
      <c r="H63" s="12"/>
      <c r="I63" s="12"/>
      <c r="J63" s="117"/>
      <c r="K63" s="117"/>
      <c r="L63" s="117"/>
      <c r="M63" s="24"/>
      <c r="N63" s="24"/>
      <c r="O63" s="24"/>
      <c r="P63" s="24"/>
      <c r="Q63" s="24"/>
      <c r="R63" s="24"/>
      <c r="S63" s="24"/>
    </row>
    <row r="64" spans="1:19" ht="12.75" hidden="1" customHeight="1" x14ac:dyDescent="0.15">
      <c r="A64" s="12"/>
      <c r="B64" s="12"/>
      <c r="C64" s="12"/>
      <c r="D64" s="12"/>
      <c r="E64" s="12"/>
      <c r="F64" s="12"/>
      <c r="G64" s="12"/>
      <c r="H64" s="12"/>
      <c r="I64" s="12"/>
      <c r="J64" s="117"/>
      <c r="K64" s="117"/>
      <c r="L64" s="117"/>
      <c r="M64" s="24"/>
      <c r="N64" s="24"/>
      <c r="O64" s="24"/>
      <c r="P64" s="24"/>
      <c r="Q64" s="24"/>
      <c r="R64" s="24"/>
      <c r="S64" s="24"/>
    </row>
    <row r="65" spans="1:19" ht="12.75" hidden="1" customHeight="1" x14ac:dyDescent="0.15">
      <c r="A65" s="12"/>
      <c r="B65" s="12"/>
      <c r="C65" s="12"/>
      <c r="D65" s="12"/>
      <c r="E65" s="12"/>
      <c r="F65" s="12"/>
      <c r="G65" s="12"/>
      <c r="H65" s="12"/>
      <c r="I65" s="12"/>
      <c r="J65" s="117"/>
      <c r="K65" s="117"/>
      <c r="L65" s="117"/>
      <c r="M65" s="24"/>
      <c r="N65" s="24"/>
      <c r="O65" s="24"/>
      <c r="P65" s="24"/>
      <c r="Q65" s="24"/>
      <c r="R65" s="24"/>
      <c r="S65" s="24"/>
    </row>
    <row r="66" spans="1:19" ht="12.75" hidden="1" customHeight="1" x14ac:dyDescent="0.15">
      <c r="A66" s="12"/>
      <c r="B66" s="12"/>
      <c r="C66" s="12"/>
      <c r="D66" s="12"/>
      <c r="E66" s="239"/>
      <c r="F66" s="12"/>
      <c r="G66" s="12"/>
      <c r="H66" s="12"/>
      <c r="I66" s="12"/>
      <c r="J66" s="117"/>
      <c r="K66" s="117"/>
      <c r="L66" s="117"/>
      <c r="M66" s="24"/>
      <c r="N66" s="24"/>
      <c r="O66" s="24"/>
      <c r="P66" s="24"/>
      <c r="Q66" s="24"/>
      <c r="R66" s="24"/>
      <c r="S66" s="24"/>
    </row>
    <row r="67" spans="1:19" ht="12.75" hidden="1" customHeight="1" x14ac:dyDescent="0.15">
      <c r="A67" s="12"/>
      <c r="B67" s="12"/>
      <c r="C67" s="12"/>
      <c r="D67" s="12"/>
      <c r="E67" s="12"/>
      <c r="F67" s="12"/>
      <c r="G67" s="12"/>
      <c r="H67" s="12"/>
      <c r="I67" s="12"/>
      <c r="J67" s="117"/>
      <c r="K67" s="117"/>
      <c r="L67" s="117"/>
      <c r="M67" s="24"/>
      <c r="N67" s="24"/>
      <c r="O67" s="24"/>
      <c r="P67" s="24"/>
      <c r="Q67" s="24"/>
      <c r="R67" s="24"/>
      <c r="S67" s="24"/>
    </row>
    <row r="68" spans="1:19" ht="12.75" hidden="1" customHeight="1" x14ac:dyDescent="0.15">
      <c r="A68" s="12"/>
      <c r="B68" s="12"/>
      <c r="C68" s="12"/>
      <c r="D68" s="12"/>
      <c r="E68" s="12"/>
      <c r="F68" s="12"/>
      <c r="G68" s="12"/>
      <c r="H68" s="12"/>
      <c r="I68" s="12"/>
      <c r="J68" s="117"/>
      <c r="K68" s="117"/>
      <c r="L68" s="117"/>
      <c r="M68" s="24"/>
      <c r="N68" s="24"/>
      <c r="O68" s="24"/>
      <c r="P68" s="24"/>
      <c r="Q68" s="24"/>
      <c r="R68" s="24"/>
      <c r="S68" s="24"/>
    </row>
    <row r="69" spans="1:19" ht="12.75" hidden="1" customHeight="1" x14ac:dyDescent="0.15">
      <c r="A69" s="12"/>
      <c r="B69" s="12"/>
      <c r="C69" s="12"/>
      <c r="D69" s="12"/>
      <c r="E69" s="12"/>
      <c r="F69" s="12"/>
      <c r="G69" s="12"/>
      <c r="H69" s="12"/>
      <c r="I69" s="12"/>
      <c r="J69" s="117"/>
      <c r="K69" s="117"/>
      <c r="L69" s="117"/>
      <c r="M69" s="24"/>
      <c r="N69" s="24"/>
      <c r="O69" s="24"/>
      <c r="P69" s="24"/>
      <c r="Q69" s="24"/>
      <c r="R69" s="24"/>
      <c r="S69" s="24"/>
    </row>
    <row r="70" spans="1:19" ht="12.75" hidden="1" customHeight="1" x14ac:dyDescent="0.15">
      <c r="A70" s="12"/>
      <c r="B70" s="12"/>
      <c r="C70" s="12"/>
      <c r="D70" s="12"/>
      <c r="E70" s="12"/>
      <c r="F70" s="12"/>
      <c r="G70" s="12"/>
      <c r="H70" s="12"/>
      <c r="I70" s="12"/>
      <c r="J70" s="117"/>
      <c r="K70" s="117"/>
      <c r="L70" s="117"/>
      <c r="M70" s="24"/>
      <c r="N70" s="24"/>
      <c r="O70" s="24"/>
      <c r="P70" s="24"/>
      <c r="Q70" s="24"/>
      <c r="R70" s="24"/>
      <c r="S70" s="24"/>
    </row>
    <row r="71" spans="1:19" ht="12.75" hidden="1" customHeight="1" x14ac:dyDescent="0.15">
      <c r="A71" s="12"/>
      <c r="B71" s="12"/>
      <c r="C71" s="12"/>
      <c r="D71" s="12"/>
      <c r="E71" s="12"/>
      <c r="F71" s="12"/>
      <c r="G71" s="12"/>
      <c r="H71" s="12"/>
      <c r="I71" s="12"/>
      <c r="J71" s="117"/>
      <c r="K71" s="117"/>
      <c r="L71" s="117"/>
      <c r="M71" s="24"/>
      <c r="N71" s="24"/>
      <c r="O71" s="24"/>
      <c r="P71" s="24"/>
      <c r="Q71" s="24"/>
      <c r="R71" s="24"/>
      <c r="S71" s="24"/>
    </row>
    <row r="72" spans="1:19" ht="12.75" hidden="1" customHeight="1" x14ac:dyDescent="0.15">
      <c r="A72" s="12"/>
      <c r="B72" s="12"/>
      <c r="C72" s="12"/>
      <c r="D72" s="12"/>
      <c r="E72" s="12"/>
      <c r="F72" s="12"/>
      <c r="G72" s="12"/>
      <c r="H72" s="12"/>
      <c r="I72" s="12"/>
      <c r="J72" s="117"/>
      <c r="K72" s="117"/>
      <c r="L72" s="117"/>
      <c r="M72" s="24"/>
      <c r="N72" s="24"/>
      <c r="O72" s="24"/>
      <c r="P72" s="24"/>
      <c r="Q72" s="24"/>
      <c r="R72" s="24"/>
      <c r="S72" s="24"/>
    </row>
    <row r="73" spans="1:19" ht="12.75" hidden="1" customHeight="1" x14ac:dyDescent="0.15">
      <c r="A73" s="12"/>
      <c r="B73" s="12"/>
      <c r="C73" s="12"/>
      <c r="D73" s="12"/>
      <c r="E73" s="12"/>
      <c r="F73" s="12"/>
      <c r="G73" s="12"/>
      <c r="H73" s="12"/>
      <c r="I73" s="12"/>
      <c r="J73" s="117"/>
      <c r="K73" s="117"/>
      <c r="L73" s="117"/>
      <c r="M73" s="24"/>
      <c r="N73" s="24"/>
      <c r="O73" s="24"/>
      <c r="P73" s="24"/>
      <c r="Q73" s="24"/>
      <c r="R73" s="24"/>
      <c r="S73" s="24"/>
    </row>
    <row r="74" spans="1:19" ht="12.75" hidden="1" customHeight="1" x14ac:dyDescent="0.15">
      <c r="A74" s="12"/>
      <c r="B74" s="12"/>
      <c r="C74" s="12"/>
      <c r="D74" s="12"/>
      <c r="E74" s="12"/>
      <c r="F74" s="12"/>
      <c r="G74" s="12"/>
      <c r="H74" s="12"/>
      <c r="I74" s="12"/>
      <c r="J74" s="117"/>
      <c r="K74" s="117"/>
      <c r="L74" s="117"/>
      <c r="M74" s="24"/>
      <c r="N74" s="24"/>
      <c r="O74" s="24"/>
      <c r="P74" s="24"/>
      <c r="Q74" s="24"/>
      <c r="R74" s="24"/>
      <c r="S74" s="24"/>
    </row>
    <row r="75" spans="1:19" ht="12.75" hidden="1" customHeight="1" x14ac:dyDescent="0.15">
      <c r="A75" s="12"/>
      <c r="B75" s="12"/>
      <c r="C75" s="12"/>
      <c r="D75" s="12"/>
      <c r="E75" s="12"/>
      <c r="F75" s="12"/>
      <c r="G75" s="12"/>
      <c r="H75" s="12"/>
      <c r="I75" s="12"/>
      <c r="J75" s="117"/>
      <c r="K75" s="117"/>
      <c r="L75" s="117"/>
      <c r="M75" s="24"/>
      <c r="N75" s="24"/>
      <c r="O75" s="24"/>
      <c r="P75" s="24"/>
      <c r="Q75" s="24"/>
      <c r="R75" s="24"/>
      <c r="S75" s="24"/>
    </row>
    <row r="76" spans="1:19" ht="12.75" hidden="1" customHeight="1" x14ac:dyDescent="0.15">
      <c r="A76" s="238"/>
      <c r="B76" s="12"/>
      <c r="C76" s="12"/>
      <c r="D76" s="240"/>
      <c r="E76" s="12"/>
      <c r="F76" s="12"/>
      <c r="G76" s="12"/>
      <c r="H76" s="12"/>
      <c r="I76" s="12"/>
      <c r="J76" s="117"/>
      <c r="K76" s="117"/>
      <c r="L76" s="117"/>
      <c r="M76" s="24"/>
      <c r="N76" s="24"/>
      <c r="O76" s="24"/>
      <c r="P76" s="24"/>
      <c r="Q76" s="24"/>
      <c r="R76" s="24"/>
      <c r="S76" s="24"/>
    </row>
    <row r="77" spans="1:19" ht="12.75" hidden="1" customHeight="1" x14ac:dyDescent="0.15">
      <c r="A77" s="12"/>
      <c r="B77" s="12"/>
      <c r="C77" s="12"/>
      <c r="D77" s="12"/>
      <c r="E77" s="12"/>
      <c r="F77" s="12"/>
      <c r="G77" s="12"/>
      <c r="H77" s="12"/>
      <c r="I77" s="12"/>
      <c r="J77" s="117"/>
      <c r="K77" s="117"/>
      <c r="L77" s="117"/>
      <c r="M77" s="24"/>
      <c r="N77" s="24"/>
      <c r="O77" s="24"/>
      <c r="P77" s="24"/>
      <c r="Q77" s="24"/>
      <c r="R77" s="24"/>
      <c r="S77" s="24"/>
    </row>
    <row r="78" spans="1:19" ht="12.75" hidden="1" customHeight="1" x14ac:dyDescent="0.15">
      <c r="A78" s="12"/>
      <c r="B78" s="12"/>
      <c r="C78" s="12"/>
      <c r="D78" s="12"/>
      <c r="E78" s="12"/>
      <c r="F78" s="12"/>
      <c r="G78" s="12"/>
      <c r="H78" s="12"/>
      <c r="I78" s="12"/>
      <c r="J78" s="117"/>
      <c r="K78" s="117"/>
      <c r="L78" s="117"/>
      <c r="M78" s="24"/>
      <c r="N78" s="24"/>
      <c r="O78" s="24"/>
      <c r="P78" s="24"/>
      <c r="Q78" s="24"/>
      <c r="R78" s="24"/>
      <c r="S78" s="24"/>
    </row>
    <row r="79" spans="1:19" ht="12.75" hidden="1" customHeight="1" x14ac:dyDescent="0.15">
      <c r="A79" s="12"/>
      <c r="B79" s="12"/>
      <c r="C79" s="12"/>
      <c r="D79" s="12"/>
      <c r="E79" s="12"/>
      <c r="F79" s="12"/>
      <c r="G79" s="12"/>
      <c r="H79" s="12"/>
      <c r="I79" s="12"/>
      <c r="J79" s="117"/>
      <c r="K79" s="117"/>
      <c r="L79" s="117"/>
      <c r="M79" s="24"/>
      <c r="N79" s="24"/>
      <c r="O79" s="24"/>
      <c r="P79" s="24"/>
      <c r="Q79" s="24"/>
      <c r="R79" s="24"/>
      <c r="S79" s="24"/>
    </row>
    <row r="80" spans="1:19" ht="12.75" hidden="1" customHeight="1" x14ac:dyDescent="0.15">
      <c r="A80" s="8"/>
      <c r="B80" s="12"/>
      <c r="C80" s="12"/>
      <c r="D80" s="12"/>
      <c r="E80" s="12"/>
      <c r="F80" s="12"/>
      <c r="G80" s="12"/>
      <c r="H80" s="12"/>
      <c r="I80" s="12"/>
      <c r="J80" s="12"/>
      <c r="K80" s="12"/>
      <c r="L80" s="12"/>
      <c r="M80" s="5"/>
      <c r="N80" s="5"/>
      <c r="O80" s="5"/>
      <c r="P80" s="5"/>
    </row>
    <row r="81" spans="1:16" ht="12.75" hidden="1" customHeight="1" x14ac:dyDescent="0.15">
      <c r="A81" s="12"/>
      <c r="B81" s="12"/>
      <c r="C81" s="12"/>
      <c r="D81" s="12"/>
      <c r="E81" s="12"/>
      <c r="F81" s="12"/>
      <c r="G81" s="12"/>
      <c r="H81" s="12"/>
      <c r="I81" s="12"/>
      <c r="J81" s="12"/>
      <c r="K81" s="12"/>
      <c r="L81" s="12"/>
      <c r="M81" s="5"/>
      <c r="N81" s="5"/>
      <c r="O81" s="5"/>
      <c r="P81" s="5"/>
    </row>
    <row r="82" spans="1:16" ht="12.75" customHeight="1" x14ac:dyDescent="0.15">
      <c r="A82" s="8"/>
      <c r="B82" s="360" t="s">
        <v>209</v>
      </c>
      <c r="C82" s="12"/>
      <c r="D82" s="12"/>
      <c r="E82" s="12"/>
      <c r="F82" s="12"/>
      <c r="G82" s="12"/>
      <c r="H82" s="12"/>
      <c r="I82" s="12"/>
      <c r="J82" s="12"/>
      <c r="K82" s="12"/>
      <c r="L82" s="12"/>
      <c r="M82" s="5"/>
      <c r="N82" s="5"/>
      <c r="O82" s="5"/>
      <c r="P82" s="5"/>
    </row>
    <row r="83" spans="1:16" ht="12.75" customHeight="1" x14ac:dyDescent="0.15">
      <c r="A83" s="32"/>
      <c r="B83" s="12"/>
      <c r="C83" s="12"/>
      <c r="D83" s="12"/>
      <c r="E83" s="12"/>
      <c r="F83" s="12"/>
      <c r="G83" s="12"/>
      <c r="H83" s="12"/>
      <c r="I83" s="12"/>
      <c r="J83" s="12"/>
      <c r="K83" s="12"/>
      <c r="L83" s="12"/>
      <c r="M83" s="5"/>
      <c r="N83" s="5"/>
      <c r="O83" s="5"/>
      <c r="P83" s="5"/>
    </row>
    <row r="84" spans="1:16" ht="12.75" customHeight="1" x14ac:dyDescent="0.15">
      <c r="A84" s="32"/>
      <c r="B84" s="117"/>
      <c r="C84" s="12"/>
      <c r="D84" s="117"/>
      <c r="E84" s="117"/>
      <c r="F84" s="117"/>
      <c r="G84" s="117"/>
      <c r="H84" s="117"/>
      <c r="I84" s="117"/>
      <c r="J84" s="12"/>
      <c r="K84" s="12"/>
      <c r="L84" s="12"/>
      <c r="M84" s="5"/>
      <c r="N84" s="5"/>
      <c r="O84" s="5"/>
      <c r="P84" s="5"/>
    </row>
    <row r="85" spans="1:16" ht="12.75" customHeight="1" x14ac:dyDescent="0.2">
      <c r="A85" s="32"/>
      <c r="B85" s="248"/>
      <c r="C85" s="117"/>
      <c r="D85" s="121"/>
      <c r="E85" s="117"/>
      <c r="F85" s="117"/>
      <c r="G85" s="117"/>
      <c r="H85" s="117"/>
      <c r="I85" s="117"/>
      <c r="J85" s="12"/>
      <c r="K85" s="12"/>
      <c r="L85" s="12"/>
      <c r="M85" s="5"/>
      <c r="N85" s="5"/>
      <c r="O85" s="5"/>
      <c r="P85" s="5"/>
    </row>
    <row r="86" spans="1:16" x14ac:dyDescent="0.15">
      <c r="A86" s="32"/>
      <c r="B86" s="117"/>
      <c r="C86" s="117"/>
      <c r="D86" s="117"/>
      <c r="E86" s="117"/>
      <c r="F86" s="117"/>
      <c r="G86" s="117"/>
      <c r="H86" s="117"/>
      <c r="I86" s="117"/>
      <c r="J86" s="12"/>
      <c r="K86" s="12"/>
      <c r="L86" s="12"/>
      <c r="M86" s="5"/>
      <c r="N86" s="5"/>
      <c r="O86" s="5"/>
      <c r="P86" s="5"/>
    </row>
    <row r="87" spans="1:16" x14ac:dyDescent="0.15">
      <c r="A87" s="17"/>
      <c r="B87" s="5"/>
      <c r="C87" s="15"/>
      <c r="D87" s="12"/>
      <c r="E87" s="5"/>
      <c r="F87" s="5"/>
      <c r="G87" s="5"/>
      <c r="H87" s="5"/>
      <c r="I87" s="5"/>
      <c r="J87" s="5"/>
      <c r="K87" s="5"/>
      <c r="L87" s="5"/>
      <c r="M87" s="5"/>
      <c r="N87" s="5"/>
      <c r="O87" s="5"/>
      <c r="P87" s="5"/>
    </row>
    <row r="88" spans="1:16" x14ac:dyDescent="0.15">
      <c r="A88" s="17"/>
      <c r="B88"/>
      <c r="C88" s="15"/>
      <c r="D88" s="5"/>
      <c r="E88" s="5"/>
      <c r="F88" s="5"/>
      <c r="G88" s="5"/>
      <c r="H88" s="5"/>
      <c r="I88" s="5"/>
      <c r="J88" s="5"/>
      <c r="K88" s="5"/>
      <c r="L88" s="5"/>
      <c r="M88" s="5"/>
      <c r="N88" s="5"/>
      <c r="O88" s="5"/>
      <c r="P88" s="5"/>
    </row>
    <row r="89" spans="1:16" x14ac:dyDescent="0.15">
      <c r="C89" s="15"/>
    </row>
    <row r="90" spans="1:16" x14ac:dyDescent="0.15">
      <c r="C90" s="5"/>
    </row>
    <row r="91" spans="1:16" x14ac:dyDescent="0.15">
      <c r="C91" s="5"/>
    </row>
  </sheetData>
  <mergeCells count="1">
    <mergeCell ref="C15:D15"/>
  </mergeCells>
  <conditionalFormatting sqref="D85">
    <cfRule type="expression" dxfId="84" priority="1">
      <formula>$F$36="No"</formula>
    </cfRule>
    <cfRule type="expression" dxfId="83" priority="2">
      <formula>$F$36="No"</formula>
    </cfRule>
    <cfRule type="expression" dxfId="82" priority="3">
      <formula>$F$36="Yes"</formula>
    </cfRule>
  </conditionalFormatting>
  <hyperlinks>
    <hyperlink ref="B82" r:id="rId1"/>
  </hyperlinks>
  <pageMargins left="0.75" right="0.75" top="1" bottom="1" header="0.5" footer="0.5"/>
  <pageSetup scale="94" orientation="portrait" horizontalDpi="4294967292" verticalDpi="4294967292" r:id="rId2"/>
  <headerFooter alignWithMargins="0">
    <oddHeader xml:space="preserve">&amp;L&amp;"Arial,Bold Italic"&amp;8Financial Forecast Workbook&amp;R&amp;"Arial,Italic"&amp;8Overview </oddHeader>
    <oddFooter>&amp;L&amp;"Arial,Italic"&amp;8Version EA-20111014&amp;C&amp;"Arial,Italic"&amp;8Copyright (c) 2011 wendykennedy.com inc.&amp;R&amp;"Arial,Italic"&amp;8Page  &amp;P of &amp;N</oddFooter>
  </headerFooter>
  <rowBreaks count="1" manualBreakCount="1">
    <brk id="20"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X87"/>
  <sheetViews>
    <sheetView workbookViewId="0">
      <selection activeCell="D11" sqref="D11"/>
    </sheetView>
  </sheetViews>
  <sheetFormatPr baseColWidth="10" defaultColWidth="8.83203125" defaultRowHeight="13" x14ac:dyDescent="0.15"/>
  <cols>
    <col min="1" max="1" width="7" customWidth="1"/>
    <col min="2" max="2" width="23.6640625" customWidth="1"/>
    <col min="3" max="10" width="8.6640625" customWidth="1"/>
    <col min="11" max="11" width="12.6640625" customWidth="1"/>
    <col min="12" max="12" width="12.33203125" customWidth="1"/>
    <col min="13" max="20" width="8.6640625" customWidth="1"/>
    <col min="21" max="21" width="8.83203125" customWidth="1"/>
    <col min="22" max="23" width="8.6640625" customWidth="1"/>
  </cols>
  <sheetData>
    <row r="1" spans="1:13" ht="19" thickBot="1" x14ac:dyDescent="0.25">
      <c r="A1" s="54" t="s">
        <v>34</v>
      </c>
      <c r="B1" s="88" t="s">
        <v>77</v>
      </c>
      <c r="C1" s="5" t="s">
        <v>78</v>
      </c>
    </row>
    <row r="2" spans="1:13" ht="18" x14ac:dyDescent="0.2">
      <c r="A2" s="54"/>
      <c r="B2" s="127"/>
      <c r="C2" s="5"/>
    </row>
    <row r="3" spans="1:13" ht="15" x14ac:dyDescent="0.2">
      <c r="A3" s="6">
        <v>1.1000000000000001</v>
      </c>
      <c r="B3" s="253" t="s">
        <v>210</v>
      </c>
      <c r="C3" s="6"/>
      <c r="D3" s="101"/>
      <c r="E3" s="101"/>
      <c r="F3" s="101"/>
      <c r="G3" s="241"/>
    </row>
    <row r="4" spans="1:13" ht="16" thickBot="1" x14ac:dyDescent="0.25">
      <c r="A4" s="6"/>
      <c r="B4" s="252" t="s">
        <v>98</v>
      </c>
      <c r="C4" s="6"/>
      <c r="D4" s="101"/>
      <c r="E4" s="101"/>
      <c r="F4" s="101"/>
      <c r="G4" s="101"/>
    </row>
    <row r="5" spans="1:13" ht="22.5" customHeight="1" x14ac:dyDescent="0.15">
      <c r="A5" s="387" t="s">
        <v>94</v>
      </c>
      <c r="B5" s="392" t="s">
        <v>87</v>
      </c>
      <c r="C5" s="385" t="s">
        <v>205</v>
      </c>
      <c r="D5" s="381" t="s">
        <v>95</v>
      </c>
      <c r="E5" s="318" t="s">
        <v>96</v>
      </c>
      <c r="F5" s="319" t="s">
        <v>88</v>
      </c>
      <c r="G5" s="320" t="s">
        <v>89</v>
      </c>
      <c r="H5" s="316" t="s">
        <v>101</v>
      </c>
      <c r="I5" s="308" t="s">
        <v>99</v>
      </c>
      <c r="J5" s="308" t="s">
        <v>102</v>
      </c>
      <c r="K5" s="308" t="s">
        <v>202</v>
      </c>
      <c r="L5" s="308" t="s">
        <v>201</v>
      </c>
      <c r="M5" s="308" t="s">
        <v>203</v>
      </c>
    </row>
    <row r="6" spans="1:13" ht="11.25" customHeight="1" x14ac:dyDescent="0.15">
      <c r="A6" s="388"/>
      <c r="B6" s="393"/>
      <c r="C6" s="386"/>
      <c r="D6" s="382"/>
      <c r="E6" s="311" t="s">
        <v>97</v>
      </c>
      <c r="F6" s="129" t="s">
        <v>204</v>
      </c>
      <c r="G6" s="321" t="s">
        <v>204</v>
      </c>
      <c r="H6" s="317"/>
      <c r="I6" s="309" t="s">
        <v>100</v>
      </c>
      <c r="J6" s="309"/>
      <c r="K6" s="309"/>
      <c r="L6" s="309"/>
      <c r="M6" s="309"/>
    </row>
    <row r="7" spans="1:13" ht="15" customHeight="1" x14ac:dyDescent="0.15">
      <c r="A7" s="388"/>
      <c r="B7" s="322" t="s">
        <v>90</v>
      </c>
      <c r="C7" s="310" t="s">
        <v>207</v>
      </c>
      <c r="D7" s="131">
        <v>500</v>
      </c>
      <c r="E7" s="132">
        <v>1</v>
      </c>
      <c r="F7" s="130">
        <v>42370</v>
      </c>
      <c r="G7" s="323">
        <v>42522</v>
      </c>
      <c r="H7" s="135">
        <f>YEAR(F7)-YEAR($F$11)</f>
        <v>-2</v>
      </c>
      <c r="I7" s="312">
        <f t="shared" ref="I7:I10" si="0">+(G7-F7)/365</f>
        <v>0.41643835616438357</v>
      </c>
      <c r="J7" s="307">
        <f>YEAR(G7)-YEAR($F$11)</f>
        <v>-2</v>
      </c>
      <c r="K7" s="307">
        <f>DATE(YEAR(F7),12,31)-F7</f>
        <v>365</v>
      </c>
      <c r="L7" s="307">
        <f>G7-F7</f>
        <v>152</v>
      </c>
      <c r="M7" s="307">
        <f t="shared" ref="M7:M9" si="1">G7-DATE(YEAR(G7)-1,12,31)</f>
        <v>153</v>
      </c>
    </row>
    <row r="8" spans="1:13" ht="15" customHeight="1" x14ac:dyDescent="0.15">
      <c r="A8" s="388"/>
      <c r="B8" s="322" t="s">
        <v>91</v>
      </c>
      <c r="C8" s="310" t="s">
        <v>207</v>
      </c>
      <c r="D8" s="131">
        <v>1000</v>
      </c>
      <c r="E8" s="132">
        <v>0.75</v>
      </c>
      <c r="F8" s="130">
        <v>42552</v>
      </c>
      <c r="G8" s="323">
        <v>42767</v>
      </c>
      <c r="H8" s="135">
        <f>YEAR(F8)-YEAR($F$11)</f>
        <v>-2</v>
      </c>
      <c r="I8" s="312">
        <f t="shared" si="0"/>
        <v>0.58904109589041098</v>
      </c>
      <c r="J8" s="307">
        <f>YEAR(G8)-YEAR($F$11)</f>
        <v>-1</v>
      </c>
      <c r="K8" s="307">
        <f t="shared" ref="K8:K11" si="2">DATE(YEAR(F8),12,31)-F8</f>
        <v>183</v>
      </c>
      <c r="L8" s="307">
        <f t="shared" ref="L8:L11" si="3">G8-F8</f>
        <v>215</v>
      </c>
      <c r="M8" s="307">
        <f t="shared" si="1"/>
        <v>32</v>
      </c>
    </row>
    <row r="9" spans="1:13" ht="15" customHeight="1" x14ac:dyDescent="0.15">
      <c r="A9" s="388"/>
      <c r="B9" s="322" t="s">
        <v>48</v>
      </c>
      <c r="C9" s="310" t="s">
        <v>207</v>
      </c>
      <c r="D9" s="131">
        <v>800</v>
      </c>
      <c r="E9" s="132">
        <v>0.5</v>
      </c>
      <c r="F9" s="130">
        <v>42795</v>
      </c>
      <c r="G9" s="323">
        <v>43070</v>
      </c>
      <c r="H9" s="135">
        <f>YEAR(F9)-YEAR($F$11)</f>
        <v>-1</v>
      </c>
      <c r="I9" s="312">
        <f t="shared" si="0"/>
        <v>0.75342465753424659</v>
      </c>
      <c r="J9" s="307">
        <f>YEAR(G9)-YEAR($F$11)</f>
        <v>-1</v>
      </c>
      <c r="K9" s="307">
        <f t="shared" si="2"/>
        <v>305</v>
      </c>
      <c r="L9" s="307">
        <f t="shared" si="3"/>
        <v>275</v>
      </c>
      <c r="M9" s="307">
        <f t="shared" si="1"/>
        <v>335</v>
      </c>
    </row>
    <row r="10" spans="1:13" ht="15" customHeight="1" x14ac:dyDescent="0.15">
      <c r="A10" s="388"/>
      <c r="B10" s="322" t="s">
        <v>92</v>
      </c>
      <c r="C10" s="310" t="s">
        <v>207</v>
      </c>
      <c r="D10" s="131">
        <v>600</v>
      </c>
      <c r="E10" s="132">
        <v>0.5</v>
      </c>
      <c r="F10" s="130">
        <v>43101</v>
      </c>
      <c r="G10" s="323">
        <v>43435</v>
      </c>
      <c r="H10" s="135">
        <f>YEAR(F10)-YEAR($F$11)</f>
        <v>0</v>
      </c>
      <c r="I10" s="312">
        <f t="shared" si="0"/>
        <v>0.91506849315068495</v>
      </c>
      <c r="J10" s="307">
        <f>YEAR(G10)-YEAR($F$11)</f>
        <v>0</v>
      </c>
      <c r="K10" s="307">
        <f t="shared" si="2"/>
        <v>364</v>
      </c>
      <c r="L10" s="307">
        <f>G10-F10</f>
        <v>334</v>
      </c>
      <c r="M10" s="307">
        <f>G10-DATE(YEAR(G10)-1,12,31)</f>
        <v>335</v>
      </c>
    </row>
    <row r="11" spans="1:13" ht="15" customHeight="1" thickBot="1" x14ac:dyDescent="0.2">
      <c r="A11" s="389"/>
      <c r="B11" s="324" t="s">
        <v>93</v>
      </c>
      <c r="C11" s="343" t="s">
        <v>208</v>
      </c>
      <c r="D11" s="325" t="s">
        <v>208</v>
      </c>
      <c r="E11" s="325" t="s">
        <v>208</v>
      </c>
      <c r="F11" s="326">
        <v>43101</v>
      </c>
      <c r="G11" s="327">
        <v>47088</v>
      </c>
      <c r="H11" s="136">
        <v>0</v>
      </c>
      <c r="I11" s="312">
        <f>+(G11-F11)/365</f>
        <v>10.923287671232877</v>
      </c>
      <c r="J11" s="307">
        <f>YEAR(G11)-YEAR($F$11)</f>
        <v>10</v>
      </c>
      <c r="K11" s="307">
        <f t="shared" si="2"/>
        <v>364</v>
      </c>
      <c r="L11" s="307">
        <f t="shared" si="3"/>
        <v>3987</v>
      </c>
      <c r="M11" s="307">
        <f t="shared" ref="M11" si="4">G11-DATE(YEAR(G11)-1,12,31)</f>
        <v>336</v>
      </c>
    </row>
    <row r="12" spans="1:13" x14ac:dyDescent="0.15">
      <c r="A12" s="6"/>
      <c r="B12" s="128"/>
      <c r="C12" s="251"/>
      <c r="D12" s="251"/>
      <c r="E12" s="251"/>
      <c r="F12" s="251"/>
    </row>
    <row r="13" spans="1:13" x14ac:dyDescent="0.15">
      <c r="A13" s="6">
        <v>2.5</v>
      </c>
      <c r="B13" s="122" t="s">
        <v>79</v>
      </c>
    </row>
    <row r="14" spans="1:13" x14ac:dyDescent="0.15">
      <c r="A14" s="6"/>
      <c r="B14" s="5" t="s">
        <v>81</v>
      </c>
    </row>
    <row r="15" spans="1:13" x14ac:dyDescent="0.15">
      <c r="A15" s="6"/>
      <c r="B15" s="5" t="s">
        <v>80</v>
      </c>
    </row>
    <row r="16" spans="1:13" x14ac:dyDescent="0.15">
      <c r="A16" s="6"/>
      <c r="B16" s="5" t="s">
        <v>200</v>
      </c>
    </row>
    <row r="17" spans="1:24" x14ac:dyDescent="0.15">
      <c r="A17" s="6"/>
      <c r="B17" s="5" t="s">
        <v>199</v>
      </c>
    </row>
    <row r="18" spans="1:24" ht="16" thickBot="1" x14ac:dyDescent="0.25">
      <c r="A18" s="6"/>
      <c r="B18" s="123" t="s">
        <v>211</v>
      </c>
    </row>
    <row r="19" spans="1:24" ht="18" customHeight="1" x14ac:dyDescent="0.15">
      <c r="A19" s="90"/>
      <c r="B19" s="390" t="s">
        <v>63</v>
      </c>
      <c r="C19" s="381" t="s">
        <v>68</v>
      </c>
      <c r="D19" s="381" t="s">
        <v>69</v>
      </c>
      <c r="E19" s="383" t="s">
        <v>70</v>
      </c>
    </row>
    <row r="20" spans="1:24" ht="30.75" customHeight="1" x14ac:dyDescent="0.15">
      <c r="A20" s="91"/>
      <c r="B20" s="391"/>
      <c r="C20" s="382"/>
      <c r="D20" s="382"/>
      <c r="E20" s="384"/>
    </row>
    <row r="21" spans="1:24" ht="15" customHeight="1" x14ac:dyDescent="0.15">
      <c r="A21" s="387" t="s">
        <v>62</v>
      </c>
      <c r="B21" s="328" t="s">
        <v>59</v>
      </c>
      <c r="C21" s="93">
        <v>120</v>
      </c>
      <c r="D21" s="304">
        <v>150</v>
      </c>
      <c r="E21" s="329">
        <v>2000</v>
      </c>
    </row>
    <row r="22" spans="1:24" ht="15" customHeight="1" x14ac:dyDescent="0.15">
      <c r="A22" s="388"/>
      <c r="B22" s="330" t="s">
        <v>60</v>
      </c>
      <c r="C22" s="95">
        <v>10</v>
      </c>
      <c r="D22" s="305">
        <v>20</v>
      </c>
      <c r="E22" s="331">
        <v>20</v>
      </c>
    </row>
    <row r="23" spans="1:24" ht="15" customHeight="1" x14ac:dyDescent="0.15">
      <c r="A23" s="389"/>
      <c r="B23" s="332" t="s">
        <v>61</v>
      </c>
      <c r="C23" s="96">
        <v>20</v>
      </c>
      <c r="D23" s="306">
        <v>20</v>
      </c>
      <c r="E23" s="333">
        <v>20</v>
      </c>
    </row>
    <row r="24" spans="1:24" ht="14" thickBot="1" x14ac:dyDescent="0.2">
      <c r="A24" s="91"/>
      <c r="B24" s="334" t="s">
        <v>188</v>
      </c>
      <c r="C24" s="335"/>
      <c r="D24" s="336">
        <v>0.1</v>
      </c>
      <c r="E24" s="337"/>
    </row>
    <row r="25" spans="1:24" x14ac:dyDescent="0.15">
      <c r="A25" s="91"/>
    </row>
    <row r="26" spans="1:24" ht="12.75" customHeight="1" x14ac:dyDescent="0.15">
      <c r="A26">
        <v>2.9</v>
      </c>
      <c r="B26" s="122" t="s">
        <v>82</v>
      </c>
    </row>
    <row r="27" spans="1:24" x14ac:dyDescent="0.15">
      <c r="B27" s="5" t="s">
        <v>83</v>
      </c>
    </row>
    <row r="28" spans="1:24" x14ac:dyDescent="0.15">
      <c r="A28" s="133"/>
      <c r="B28" s="139"/>
      <c r="C28" s="140"/>
      <c r="D28" s="140"/>
    </row>
    <row r="29" spans="1:24" x14ac:dyDescent="0.15">
      <c r="A29" s="133"/>
      <c r="B29" s="124"/>
      <c r="C29" s="408" t="s">
        <v>105</v>
      </c>
      <c r="D29" s="408"/>
      <c r="E29" s="408"/>
      <c r="F29" s="408"/>
      <c r="G29" s="408"/>
      <c r="H29" s="408"/>
      <c r="I29" s="408"/>
      <c r="J29" s="408"/>
      <c r="K29" s="408"/>
      <c r="L29" s="408"/>
      <c r="M29" s="141">
        <f>+F11</f>
        <v>43101</v>
      </c>
      <c r="N29" s="394" t="s">
        <v>65</v>
      </c>
      <c r="O29" s="395"/>
      <c r="P29" s="395"/>
      <c r="Q29" s="395"/>
      <c r="R29" s="395"/>
      <c r="S29" s="395"/>
      <c r="T29" s="395"/>
      <c r="U29" s="395"/>
      <c r="V29" s="395"/>
      <c r="W29" s="395"/>
      <c r="X29" s="143"/>
    </row>
    <row r="30" spans="1:24" x14ac:dyDescent="0.15">
      <c r="A30" s="133"/>
      <c r="B30" s="137" t="s">
        <v>104</v>
      </c>
      <c r="C30" s="137">
        <v>-10</v>
      </c>
      <c r="D30" s="137">
        <v>-9</v>
      </c>
      <c r="E30" s="137">
        <v>-8</v>
      </c>
      <c r="F30" s="137">
        <v>-7</v>
      </c>
      <c r="G30" s="137">
        <v>-6</v>
      </c>
      <c r="H30" s="137">
        <v>-5</v>
      </c>
      <c r="I30" s="137">
        <v>-4</v>
      </c>
      <c r="J30" s="137">
        <v>-3</v>
      </c>
      <c r="K30" s="137">
        <v>-2</v>
      </c>
      <c r="L30" s="137">
        <v>-1</v>
      </c>
      <c r="M30" s="137">
        <v>0</v>
      </c>
      <c r="N30" s="137">
        <v>1</v>
      </c>
      <c r="O30" s="137">
        <v>2</v>
      </c>
      <c r="P30" s="137">
        <v>3</v>
      </c>
      <c r="Q30" s="137">
        <v>4</v>
      </c>
      <c r="R30" s="137">
        <v>5</v>
      </c>
      <c r="S30" s="137">
        <v>6</v>
      </c>
      <c r="T30" s="137">
        <v>7</v>
      </c>
      <c r="U30" s="137">
        <v>8</v>
      </c>
      <c r="V30" s="137">
        <v>9</v>
      </c>
      <c r="W30" s="137">
        <v>10</v>
      </c>
      <c r="X30" s="143"/>
    </row>
    <row r="31" spans="1:24" x14ac:dyDescent="0.15">
      <c r="A31" s="315">
        <f>+SUM(C31:L31)</f>
        <v>500</v>
      </c>
      <c r="B31" s="313" t="s">
        <v>90</v>
      </c>
      <c r="C31" s="254">
        <f t="shared" ref="C31:S31" si="5">IF(OR(C$30&lt;$H$7,C$30&gt;$J$7),0,IF(C$30=$H$7,(IF($H$7=$J$7,$D$7,$D$7*$K$7/$L$7)),IF(C$30=$J$7,($D$7*$M$7/$L$7),($D$7*365.25/$L$7))))</f>
        <v>0</v>
      </c>
      <c r="D31" s="254">
        <f t="shared" si="5"/>
        <v>0</v>
      </c>
      <c r="E31" s="254">
        <f t="shared" si="5"/>
        <v>0</v>
      </c>
      <c r="F31" s="254">
        <f t="shared" si="5"/>
        <v>0</v>
      </c>
      <c r="G31" s="254">
        <f t="shared" si="5"/>
        <v>0</v>
      </c>
      <c r="H31" s="254">
        <f t="shared" si="5"/>
        <v>0</v>
      </c>
      <c r="I31" s="254">
        <f t="shared" si="5"/>
        <v>0</v>
      </c>
      <c r="J31" s="254">
        <f t="shared" si="5"/>
        <v>0</v>
      </c>
      <c r="K31" s="254">
        <f t="shared" si="5"/>
        <v>500</v>
      </c>
      <c r="L31" s="299">
        <f t="shared" si="5"/>
        <v>0</v>
      </c>
      <c r="M31" s="299">
        <f t="shared" si="5"/>
        <v>0</v>
      </c>
      <c r="N31" s="299">
        <f t="shared" si="5"/>
        <v>0</v>
      </c>
      <c r="O31" s="299">
        <f t="shared" si="5"/>
        <v>0</v>
      </c>
      <c r="P31" s="299">
        <f t="shared" si="5"/>
        <v>0</v>
      </c>
      <c r="Q31" s="299">
        <f t="shared" si="5"/>
        <v>0</v>
      </c>
      <c r="R31" s="299">
        <f t="shared" si="5"/>
        <v>0</v>
      </c>
      <c r="S31" s="299">
        <f t="shared" si="5"/>
        <v>0</v>
      </c>
      <c r="T31" s="299">
        <f t="shared" ref="T31:W31" si="6">IF(OR(T$30&lt;$H$7,T$30&gt;$J$7),0,IF(T$30=$H$7,($D$7*$K$7/$L$7),IF(T$30=$J$7,($D$7*$M$7/$L$7),($D$7*365.25/$L$7))))</f>
        <v>0</v>
      </c>
      <c r="U31" s="299">
        <f t="shared" si="6"/>
        <v>0</v>
      </c>
      <c r="V31" s="299">
        <f t="shared" si="6"/>
        <v>0</v>
      </c>
      <c r="W31" s="255">
        <f t="shared" si="6"/>
        <v>0</v>
      </c>
      <c r="X31" s="143"/>
    </row>
    <row r="32" spans="1:24" x14ac:dyDescent="0.15">
      <c r="A32" s="315">
        <f t="shared" ref="A32:A34" si="7">+SUM(C32:L32)</f>
        <v>1000</v>
      </c>
      <c r="B32" s="314" t="s">
        <v>91</v>
      </c>
      <c r="C32" s="256">
        <f t="shared" ref="C32:I32" si="8">IF(OR(C$30&lt;$H$8,C$30&gt;$J$8),0,IF(C$30=$H$8,(IF($H$8=$J$8,$D$8,$D$8*$K$8/$L$8)),IF(C$30=$J$8,($D$8*$M$8/$L$8),($D$8*365.25/$L$8))))</f>
        <v>0</v>
      </c>
      <c r="D32" s="256">
        <f t="shared" si="8"/>
        <v>0</v>
      </c>
      <c r="E32" s="256">
        <f t="shared" si="8"/>
        <v>0</v>
      </c>
      <c r="F32" s="256">
        <f t="shared" si="8"/>
        <v>0</v>
      </c>
      <c r="G32" s="256">
        <f t="shared" si="8"/>
        <v>0</v>
      </c>
      <c r="H32" s="256">
        <f t="shared" si="8"/>
        <v>0</v>
      </c>
      <c r="I32" s="256">
        <f t="shared" si="8"/>
        <v>0</v>
      </c>
      <c r="J32" s="256">
        <f>IF(OR(J$30&lt;$H$8,J$30&gt;$J$8),0,IF(J$30=$H$8,(IF($H$8=$J$8,$D$8,$D$8*$K$8/$L$8)),IF(J$30=$J$8,($D$8*$M$8/$L$8),($D$8*365.25/$L$8))))</f>
        <v>0</v>
      </c>
      <c r="K32" s="256">
        <f t="shared" ref="K32:S32" si="9">IF(OR(K$30&lt;$H$8,K$30&gt;$J$8),0,IF(K$30=$H$8,(IF($H$8=$J$8,$D$8,$D$8*$K$8/$L$8)),IF(K$30=$J$8,($D$8*$M$8/$L$8),($D$8*365.25/$L$8))))</f>
        <v>851.16279069767438</v>
      </c>
      <c r="L32" s="300">
        <f t="shared" si="9"/>
        <v>148.83720930232559</v>
      </c>
      <c r="M32" s="300">
        <f t="shared" si="9"/>
        <v>0</v>
      </c>
      <c r="N32" s="300">
        <f t="shared" si="9"/>
        <v>0</v>
      </c>
      <c r="O32" s="300">
        <f t="shared" si="9"/>
        <v>0</v>
      </c>
      <c r="P32" s="300">
        <f t="shared" si="9"/>
        <v>0</v>
      </c>
      <c r="Q32" s="300">
        <f t="shared" si="9"/>
        <v>0</v>
      </c>
      <c r="R32" s="300">
        <f t="shared" si="9"/>
        <v>0</v>
      </c>
      <c r="S32" s="300">
        <f t="shared" si="9"/>
        <v>0</v>
      </c>
      <c r="T32" s="300">
        <f t="shared" ref="T32:W32" si="10">IF(OR(T$30&lt;$H$8,T$30&gt;$J$8),0,IF(T$30=$H$8,($D$8*$K$8/$L$8),IF(T$30=$J$8,($D$8*$M$8/$L$8),($D$8*365.25/$L$8))))</f>
        <v>0</v>
      </c>
      <c r="U32" s="300">
        <f t="shared" si="10"/>
        <v>0</v>
      </c>
      <c r="V32" s="300">
        <f t="shared" si="10"/>
        <v>0</v>
      </c>
      <c r="W32" s="257">
        <f t="shared" si="10"/>
        <v>0</v>
      </c>
      <c r="X32" s="143"/>
    </row>
    <row r="33" spans="1:24" x14ac:dyDescent="0.15">
      <c r="A33" s="315">
        <f t="shared" si="7"/>
        <v>800</v>
      </c>
      <c r="B33" s="314" t="s">
        <v>48</v>
      </c>
      <c r="C33" s="256">
        <f t="shared" ref="C33:S33" si="11">IF(OR(C$30&lt;$H$9,C$30&gt;$J$9),0,IF(C$30=$H$9,(IF($H$9=$J$9,$D$9,$D$9*$K$9/$L$9)),IF(C$30=$J$9,($D$9*$M$9/$L$9),($D$9*365.25/$L$9))))</f>
        <v>0</v>
      </c>
      <c r="D33" s="256">
        <f t="shared" si="11"/>
        <v>0</v>
      </c>
      <c r="E33" s="256">
        <f t="shared" si="11"/>
        <v>0</v>
      </c>
      <c r="F33" s="256">
        <f t="shared" si="11"/>
        <v>0</v>
      </c>
      <c r="G33" s="256">
        <f t="shared" si="11"/>
        <v>0</v>
      </c>
      <c r="H33" s="256">
        <f t="shared" si="11"/>
        <v>0</v>
      </c>
      <c r="I33" s="256">
        <f t="shared" si="11"/>
        <v>0</v>
      </c>
      <c r="J33" s="256">
        <f t="shared" si="11"/>
        <v>0</v>
      </c>
      <c r="K33" s="256">
        <f t="shared" si="11"/>
        <v>0</v>
      </c>
      <c r="L33" s="300">
        <f t="shared" si="11"/>
        <v>800</v>
      </c>
      <c r="M33" s="300">
        <f t="shared" si="11"/>
        <v>0</v>
      </c>
      <c r="N33" s="300">
        <f t="shared" si="11"/>
        <v>0</v>
      </c>
      <c r="O33" s="300">
        <f t="shared" si="11"/>
        <v>0</v>
      </c>
      <c r="P33" s="300">
        <f t="shared" si="11"/>
        <v>0</v>
      </c>
      <c r="Q33" s="300">
        <f t="shared" si="11"/>
        <v>0</v>
      </c>
      <c r="R33" s="300">
        <f t="shared" si="11"/>
        <v>0</v>
      </c>
      <c r="S33" s="300">
        <f t="shared" si="11"/>
        <v>0</v>
      </c>
      <c r="T33" s="300">
        <f t="shared" ref="T33:W33" si="12">IF(OR(T$30&lt;$H$9,T$30&gt;$J$9),0,IF(T$30=$H$9,($D$9*$K$9/$L$9),IF(T$30=$J$9,($D$9*$M$9/$L$9),($D$9*365.25/$L$9))))</f>
        <v>0</v>
      </c>
      <c r="U33" s="300">
        <f t="shared" si="12"/>
        <v>0</v>
      </c>
      <c r="V33" s="300">
        <f t="shared" si="12"/>
        <v>0</v>
      </c>
      <c r="W33" s="257">
        <f t="shared" si="12"/>
        <v>0</v>
      </c>
      <c r="X33" s="143"/>
    </row>
    <row r="34" spans="1:24" x14ac:dyDescent="0.15">
      <c r="A34" s="315">
        <f t="shared" si="7"/>
        <v>0</v>
      </c>
      <c r="B34" s="314" t="s">
        <v>92</v>
      </c>
      <c r="C34" s="258">
        <f t="shared" ref="C34:S34" si="13">IF(OR(C$30&lt;$H$10,C$30&gt;$J$10),0,IF(C$30=$H$10,(IF($H$10=$J$10,$D$10,$D$10*$K$10/$L$10)),IF(C$30=$J$10,($D$10*$M$10/$L$10),($D$10*365.25/$L$10))))</f>
        <v>0</v>
      </c>
      <c r="D34" s="258">
        <f t="shared" si="13"/>
        <v>0</v>
      </c>
      <c r="E34" s="258">
        <f t="shared" si="13"/>
        <v>0</v>
      </c>
      <c r="F34" s="258">
        <f t="shared" si="13"/>
        <v>0</v>
      </c>
      <c r="G34" s="258">
        <f t="shared" si="13"/>
        <v>0</v>
      </c>
      <c r="H34" s="258">
        <f t="shared" si="13"/>
        <v>0</v>
      </c>
      <c r="I34" s="258">
        <f t="shared" si="13"/>
        <v>0</v>
      </c>
      <c r="J34" s="258">
        <f t="shared" si="13"/>
        <v>0</v>
      </c>
      <c r="K34" s="258">
        <f t="shared" si="13"/>
        <v>0</v>
      </c>
      <c r="L34" s="301">
        <f t="shared" si="13"/>
        <v>0</v>
      </c>
      <c r="M34" s="301">
        <f t="shared" si="13"/>
        <v>600</v>
      </c>
      <c r="N34" s="301">
        <f t="shared" si="13"/>
        <v>0</v>
      </c>
      <c r="O34" s="301">
        <f t="shared" si="13"/>
        <v>0</v>
      </c>
      <c r="P34" s="301">
        <f t="shared" si="13"/>
        <v>0</v>
      </c>
      <c r="Q34" s="301">
        <f t="shared" si="13"/>
        <v>0</v>
      </c>
      <c r="R34" s="301">
        <f t="shared" si="13"/>
        <v>0</v>
      </c>
      <c r="S34" s="301">
        <f t="shared" si="13"/>
        <v>0</v>
      </c>
      <c r="T34" s="301">
        <f t="shared" ref="T34:W34" si="14">IF(OR(T$30&lt;$H$10,T$30&gt;$J$10),0,IF(T$30=$H$10,($D$10*$K$10/$L$10),IF(T$30=$J$10,($D$10*$M$10/$L$10),($D$10*365.25/$L$10))))</f>
        <v>0</v>
      </c>
      <c r="U34" s="301">
        <f t="shared" si="14"/>
        <v>0</v>
      </c>
      <c r="V34" s="301">
        <f t="shared" si="14"/>
        <v>0</v>
      </c>
      <c r="W34" s="259">
        <f t="shared" si="14"/>
        <v>0</v>
      </c>
      <c r="X34" s="143"/>
    </row>
    <row r="35" spans="1:24" x14ac:dyDescent="0.15">
      <c r="A35" s="133"/>
      <c r="B35" s="137" t="s">
        <v>132</v>
      </c>
      <c r="C35" s="137">
        <f>+IF(SUM(C31:C34)=0,-1,0)</f>
        <v>-1</v>
      </c>
      <c r="D35" s="137">
        <f>+IF(SUM(D31:D34)=0,-1,C35+1)</f>
        <v>-1</v>
      </c>
      <c r="E35" s="137">
        <f t="shared" ref="E35:L35" si="15">+IF(SUM(E31:E34)=0,-1,D35+1)</f>
        <v>-1</v>
      </c>
      <c r="F35" s="137">
        <f t="shared" si="15"/>
        <v>-1</v>
      </c>
      <c r="G35" s="137">
        <f t="shared" si="15"/>
        <v>-1</v>
      </c>
      <c r="H35" s="137">
        <f t="shared" si="15"/>
        <v>-1</v>
      </c>
      <c r="I35" s="137">
        <f t="shared" si="15"/>
        <v>-1</v>
      </c>
      <c r="J35" s="137">
        <f t="shared" si="15"/>
        <v>-1</v>
      </c>
      <c r="K35" s="137">
        <f t="shared" si="15"/>
        <v>0</v>
      </c>
      <c r="L35" s="137">
        <f t="shared" si="15"/>
        <v>1</v>
      </c>
      <c r="M35" s="137">
        <f>+L35+1</f>
        <v>2</v>
      </c>
      <c r="N35" s="137">
        <f t="shared" ref="N35:R35" si="16">+M35+1</f>
        <v>3</v>
      </c>
      <c r="O35" s="137">
        <f t="shared" si="16"/>
        <v>4</v>
      </c>
      <c r="P35" s="137">
        <f t="shared" si="16"/>
        <v>5</v>
      </c>
      <c r="Q35" s="137">
        <f t="shared" si="16"/>
        <v>6</v>
      </c>
      <c r="R35" s="137">
        <f t="shared" si="16"/>
        <v>7</v>
      </c>
      <c r="S35" s="137">
        <f t="shared" ref="S35" si="17">+R35+1</f>
        <v>8</v>
      </c>
      <c r="T35" s="137">
        <f t="shared" ref="T35" si="18">+S35+1</f>
        <v>9</v>
      </c>
      <c r="U35" s="137">
        <f t="shared" ref="U35" si="19">+T35+1</f>
        <v>10</v>
      </c>
      <c r="V35" s="137">
        <f t="shared" ref="V35" si="20">+U35+1</f>
        <v>11</v>
      </c>
      <c r="W35" s="137">
        <f t="shared" ref="W35" si="21">+V35+1</f>
        <v>12</v>
      </c>
      <c r="X35" s="143"/>
    </row>
    <row r="36" spans="1:24" x14ac:dyDescent="0.15">
      <c r="A36" s="100"/>
      <c r="B36" s="124"/>
      <c r="C36" s="125"/>
      <c r="D36" s="125"/>
      <c r="E36" s="101"/>
      <c r="F36" s="101"/>
      <c r="G36" s="101"/>
      <c r="H36" s="101"/>
      <c r="I36" s="101"/>
    </row>
    <row r="37" spans="1:24" ht="15" x14ac:dyDescent="0.2">
      <c r="A37" s="244"/>
      <c r="B37" s="244"/>
      <c r="C37" s="244"/>
      <c r="D37" s="244"/>
      <c r="E37" s="244"/>
      <c r="F37" s="244"/>
      <c r="G37" s="244"/>
      <c r="H37" s="244"/>
      <c r="I37" s="244"/>
      <c r="K37" s="123" t="s">
        <v>212</v>
      </c>
    </row>
    <row r="38" spans="1:24" ht="15" x14ac:dyDescent="0.2">
      <c r="A38" s="244"/>
      <c r="B38" s="244"/>
      <c r="C38" s="244"/>
      <c r="D38" s="244"/>
      <c r="E38" s="244"/>
      <c r="F38" s="244"/>
      <c r="G38" s="244"/>
      <c r="H38" s="244"/>
      <c r="I38" s="244"/>
      <c r="K38" s="126" t="s">
        <v>85</v>
      </c>
    </row>
    <row r="39" spans="1:24" ht="12.75" customHeight="1" thickBot="1" x14ac:dyDescent="0.25">
      <c r="A39" s="244"/>
      <c r="B39" s="244"/>
      <c r="C39" s="244"/>
      <c r="D39" s="244"/>
      <c r="E39" s="244"/>
      <c r="F39" s="244"/>
      <c r="G39" s="244"/>
      <c r="H39" s="244"/>
      <c r="I39" s="244"/>
      <c r="K39" s="126" t="s">
        <v>84</v>
      </c>
    </row>
    <row r="40" spans="1:24" ht="12.75" customHeight="1" x14ac:dyDescent="0.15">
      <c r="A40" s="244"/>
      <c r="B40" s="244"/>
      <c r="C40" s="244"/>
      <c r="D40" s="244"/>
      <c r="E40" s="244"/>
      <c r="F40" s="244"/>
      <c r="G40" s="244"/>
      <c r="H40" s="244"/>
      <c r="I40" s="244"/>
      <c r="J40" s="387" t="s">
        <v>64</v>
      </c>
      <c r="K40" s="404" t="s">
        <v>51</v>
      </c>
      <c r="L40" s="405"/>
      <c r="M40" s="338">
        <f>+F11</f>
        <v>43101</v>
      </c>
      <c r="N40" s="396" t="s">
        <v>65</v>
      </c>
      <c r="O40" s="397"/>
      <c r="P40" s="397"/>
      <c r="Q40" s="397"/>
      <c r="R40" s="397"/>
      <c r="S40" s="397"/>
      <c r="T40" s="397"/>
      <c r="U40" s="397"/>
      <c r="V40" s="397"/>
      <c r="W40" s="397"/>
      <c r="X40" s="362"/>
    </row>
    <row r="41" spans="1:24" ht="12.75" customHeight="1" x14ac:dyDescent="0.15">
      <c r="A41" s="244"/>
      <c r="B41" s="244"/>
      <c r="C41" s="244"/>
      <c r="D41" s="244"/>
      <c r="E41" s="244"/>
      <c r="F41" s="244"/>
      <c r="G41" s="244"/>
      <c r="H41" s="244"/>
      <c r="I41" s="244"/>
      <c r="J41" s="388"/>
      <c r="K41" s="406"/>
      <c r="L41" s="407"/>
      <c r="M41" s="160">
        <v>0</v>
      </c>
      <c r="N41" s="160">
        <v>1</v>
      </c>
      <c r="O41" s="160">
        <v>2</v>
      </c>
      <c r="P41" s="160">
        <v>3</v>
      </c>
      <c r="Q41" s="160">
        <v>4</v>
      </c>
      <c r="R41" s="160">
        <v>5</v>
      </c>
      <c r="S41" s="160">
        <v>6</v>
      </c>
      <c r="T41" s="160">
        <v>7</v>
      </c>
      <c r="U41" s="160">
        <v>8</v>
      </c>
      <c r="V41" s="160">
        <v>9</v>
      </c>
      <c r="W41" s="361">
        <v>10</v>
      </c>
      <c r="X41" s="362"/>
    </row>
    <row r="42" spans="1:24" ht="27" customHeight="1" x14ac:dyDescent="0.15">
      <c r="A42" s="244"/>
      <c r="B42" s="244"/>
      <c r="C42" s="244"/>
      <c r="D42" s="244"/>
      <c r="E42" s="244"/>
      <c r="F42" s="244"/>
      <c r="G42" s="244"/>
      <c r="H42" s="244"/>
      <c r="I42" s="244"/>
      <c r="J42" s="388"/>
      <c r="K42" s="398" t="s">
        <v>106</v>
      </c>
      <c r="L42" s="399"/>
      <c r="M42" s="400">
        <v>100</v>
      </c>
      <c r="N42" s="401"/>
      <c r="O42" s="401"/>
      <c r="P42" s="401"/>
      <c r="Q42" s="401"/>
      <c r="R42" s="401"/>
      <c r="S42" s="401"/>
      <c r="T42" s="401"/>
      <c r="U42" s="401"/>
      <c r="V42" s="401"/>
      <c r="W42" s="401"/>
      <c r="X42" s="362"/>
    </row>
    <row r="43" spans="1:24" ht="12.75" customHeight="1" x14ac:dyDescent="0.15">
      <c r="A43" s="244"/>
      <c r="B43" s="244"/>
      <c r="C43" s="244"/>
      <c r="D43" s="244"/>
      <c r="E43" s="244"/>
      <c r="F43" s="244"/>
      <c r="G43" s="244"/>
      <c r="H43" s="244"/>
      <c r="I43" s="244"/>
      <c r="J43" s="388"/>
      <c r="K43" s="402" t="s">
        <v>107</v>
      </c>
      <c r="L43" s="403"/>
      <c r="M43" s="94">
        <v>0</v>
      </c>
      <c r="N43" s="94">
        <v>0</v>
      </c>
      <c r="O43" s="94">
        <v>0</v>
      </c>
      <c r="P43" s="94">
        <v>0</v>
      </c>
      <c r="Q43" s="94">
        <v>0</v>
      </c>
      <c r="R43" s="94">
        <v>0</v>
      </c>
      <c r="S43" s="94">
        <v>0</v>
      </c>
      <c r="T43" s="94">
        <v>0</v>
      </c>
      <c r="U43" s="94">
        <v>0</v>
      </c>
      <c r="V43" s="94">
        <v>0</v>
      </c>
      <c r="W43" s="94">
        <v>0</v>
      </c>
      <c r="X43" s="362"/>
    </row>
    <row r="44" spans="1:24" ht="12.75" customHeight="1" x14ac:dyDescent="0.15">
      <c r="A44" s="244"/>
      <c r="B44" s="244"/>
      <c r="C44" s="244"/>
      <c r="D44" s="244"/>
      <c r="E44" s="244"/>
      <c r="F44" s="244"/>
      <c r="G44" s="244"/>
      <c r="H44" s="244"/>
      <c r="I44" s="244"/>
      <c r="J44" s="388"/>
      <c r="K44" s="415" t="s">
        <v>108</v>
      </c>
      <c r="L44" s="416"/>
      <c r="M44" s="92">
        <v>0</v>
      </c>
      <c r="N44" s="92">
        <v>0</v>
      </c>
      <c r="O44" s="92">
        <v>0</v>
      </c>
      <c r="P44" s="92">
        <v>0</v>
      </c>
      <c r="Q44" s="92">
        <v>0</v>
      </c>
      <c r="R44" s="92">
        <v>0</v>
      </c>
      <c r="S44" s="92">
        <v>0</v>
      </c>
      <c r="T44" s="92">
        <v>0</v>
      </c>
      <c r="U44" s="92">
        <v>0</v>
      </c>
      <c r="V44" s="92">
        <v>0</v>
      </c>
      <c r="W44" s="92">
        <v>0</v>
      </c>
      <c r="X44" s="362"/>
    </row>
    <row r="45" spans="1:24" ht="12.75" customHeight="1" x14ac:dyDescent="0.15">
      <c r="A45" s="244"/>
      <c r="B45" s="244"/>
      <c r="C45" s="244"/>
      <c r="D45" s="244"/>
      <c r="E45" s="244"/>
      <c r="F45" s="244"/>
      <c r="G45" s="244"/>
      <c r="H45" s="244"/>
      <c r="I45" s="244"/>
      <c r="J45" s="388"/>
      <c r="K45" s="415" t="s">
        <v>109</v>
      </c>
      <c r="L45" s="416"/>
      <c r="M45" s="92">
        <v>0</v>
      </c>
      <c r="N45" s="92">
        <v>0</v>
      </c>
      <c r="O45" s="92">
        <v>0</v>
      </c>
      <c r="P45" s="92">
        <v>0</v>
      </c>
      <c r="Q45" s="92">
        <v>0</v>
      </c>
      <c r="R45" s="92">
        <v>0</v>
      </c>
      <c r="S45" s="92">
        <v>0</v>
      </c>
      <c r="T45" s="92">
        <v>0</v>
      </c>
      <c r="U45" s="92">
        <v>0</v>
      </c>
      <c r="V45" s="92">
        <v>0</v>
      </c>
      <c r="W45" s="92">
        <v>0</v>
      </c>
      <c r="X45" s="362"/>
    </row>
    <row r="46" spans="1:24" ht="12.75" customHeight="1" thickBot="1" x14ac:dyDescent="0.2">
      <c r="A46" s="244"/>
      <c r="B46" s="244"/>
      <c r="C46" s="244"/>
      <c r="D46" s="244"/>
      <c r="E46" s="244"/>
      <c r="F46" s="244"/>
      <c r="G46" s="244"/>
      <c r="H46" s="244"/>
      <c r="I46" s="244"/>
      <c r="J46" s="389"/>
      <c r="K46" s="417" t="s">
        <v>110</v>
      </c>
      <c r="L46" s="418"/>
      <c r="M46" s="339">
        <v>0</v>
      </c>
      <c r="N46" s="339">
        <v>0</v>
      </c>
      <c r="O46" s="339">
        <v>0</v>
      </c>
      <c r="P46" s="339">
        <v>0</v>
      </c>
      <c r="Q46" s="339">
        <v>0</v>
      </c>
      <c r="R46" s="339">
        <v>0</v>
      </c>
      <c r="S46" s="339">
        <v>0</v>
      </c>
      <c r="T46" s="339">
        <v>0</v>
      </c>
      <c r="U46" s="339">
        <v>0</v>
      </c>
      <c r="V46" s="339">
        <v>0</v>
      </c>
      <c r="W46" s="339">
        <v>0</v>
      </c>
      <c r="X46" s="362"/>
    </row>
    <row r="47" spans="1:24" ht="12.75" customHeight="1" x14ac:dyDescent="0.15">
      <c r="A47" s="244"/>
      <c r="B47" s="244"/>
      <c r="C47" s="244"/>
      <c r="D47" s="244"/>
      <c r="E47" s="244"/>
      <c r="F47" s="244"/>
      <c r="G47" s="244"/>
      <c r="H47" s="244"/>
      <c r="I47" s="244"/>
      <c r="J47" s="101"/>
    </row>
    <row r="48" spans="1:24" ht="16" thickBot="1" x14ac:dyDescent="0.25">
      <c r="A48" s="244"/>
      <c r="B48" s="244"/>
      <c r="C48" s="244"/>
      <c r="D48" s="244"/>
      <c r="E48" s="244"/>
      <c r="F48" s="244"/>
      <c r="G48" s="244"/>
      <c r="H48" s="244"/>
      <c r="I48" s="244"/>
      <c r="K48" s="123" t="s">
        <v>213</v>
      </c>
    </row>
    <row r="49" spans="1:24" x14ac:dyDescent="0.15">
      <c r="A49" s="244"/>
      <c r="B49" s="244"/>
      <c r="C49" s="244"/>
      <c r="D49" s="244"/>
      <c r="E49" s="244"/>
      <c r="F49" s="244"/>
      <c r="G49" s="244"/>
      <c r="H49" s="244"/>
      <c r="I49" s="244"/>
      <c r="J49" s="436" t="s">
        <v>52</v>
      </c>
      <c r="K49" s="426" t="s">
        <v>66</v>
      </c>
      <c r="L49" s="427"/>
      <c r="M49" s="367">
        <f>+F11</f>
        <v>43101</v>
      </c>
      <c r="N49" s="425" t="s">
        <v>65</v>
      </c>
      <c r="O49" s="425"/>
      <c r="P49" s="425"/>
      <c r="Q49" s="425"/>
      <c r="R49" s="425"/>
      <c r="S49" s="425"/>
      <c r="T49" s="425"/>
      <c r="U49" s="425"/>
      <c r="V49" s="425"/>
      <c r="W49" s="425"/>
      <c r="X49" s="363"/>
    </row>
    <row r="50" spans="1:24" ht="12.75" customHeight="1" x14ac:dyDescent="0.15">
      <c r="A50" s="244"/>
      <c r="B50" s="244"/>
      <c r="C50" s="244"/>
      <c r="D50" s="244"/>
      <c r="E50" s="244"/>
      <c r="F50" s="244"/>
      <c r="G50" s="244"/>
      <c r="H50" s="244"/>
      <c r="I50" s="244"/>
      <c r="J50" s="437"/>
      <c r="K50" s="428"/>
      <c r="L50" s="429"/>
      <c r="M50" s="160">
        <v>0</v>
      </c>
      <c r="N50" s="160">
        <v>1</v>
      </c>
      <c r="O50" s="160">
        <v>2</v>
      </c>
      <c r="P50" s="160">
        <v>3</v>
      </c>
      <c r="Q50" s="160">
        <v>4</v>
      </c>
      <c r="R50" s="160">
        <v>5</v>
      </c>
      <c r="S50" s="160">
        <v>6</v>
      </c>
      <c r="T50" s="160">
        <v>7</v>
      </c>
      <c r="U50" s="160">
        <v>8</v>
      </c>
      <c r="V50" s="160">
        <v>9</v>
      </c>
      <c r="W50" s="361">
        <v>10</v>
      </c>
      <c r="X50" s="363"/>
    </row>
    <row r="51" spans="1:24" x14ac:dyDescent="0.15">
      <c r="A51" s="244"/>
      <c r="B51" s="244"/>
      <c r="C51" s="244"/>
      <c r="D51" s="244"/>
      <c r="E51" s="244"/>
      <c r="F51" s="244"/>
      <c r="G51" s="244"/>
      <c r="H51" s="244"/>
      <c r="I51" s="244"/>
      <c r="J51" s="437"/>
      <c r="K51" s="411" t="s">
        <v>220</v>
      </c>
      <c r="L51" s="412"/>
      <c r="M51" s="146">
        <v>40000</v>
      </c>
      <c r="N51" s="146">
        <v>40000</v>
      </c>
      <c r="O51" s="146">
        <v>40000</v>
      </c>
      <c r="P51" s="146">
        <v>50000</v>
      </c>
      <c r="Q51" s="146">
        <v>50000</v>
      </c>
      <c r="R51" s="146">
        <v>50000</v>
      </c>
      <c r="S51" s="146">
        <v>50000</v>
      </c>
      <c r="T51" s="146">
        <v>50000</v>
      </c>
      <c r="U51" s="146">
        <v>50000</v>
      </c>
      <c r="V51" s="146">
        <v>50000</v>
      </c>
      <c r="W51" s="146">
        <v>50000</v>
      </c>
      <c r="X51" s="363"/>
    </row>
    <row r="52" spans="1:24" x14ac:dyDescent="0.15">
      <c r="A52" s="244"/>
      <c r="B52" s="244"/>
      <c r="C52" s="244"/>
      <c r="D52" s="244"/>
      <c r="E52" s="244"/>
      <c r="F52" s="244"/>
      <c r="G52" s="244"/>
      <c r="H52" s="244"/>
      <c r="I52" s="244"/>
      <c r="J52" s="437"/>
      <c r="K52" s="340" t="s">
        <v>187</v>
      </c>
      <c r="L52" s="249">
        <v>0.03</v>
      </c>
      <c r="M52" s="297">
        <f>+M51*$L$52</f>
        <v>1200</v>
      </c>
      <c r="N52" s="297">
        <f t="shared" ref="N52:W52" si="22">+N51*$L$52</f>
        <v>1200</v>
      </c>
      <c r="O52" s="297">
        <f t="shared" si="22"/>
        <v>1200</v>
      </c>
      <c r="P52" s="297">
        <f t="shared" si="22"/>
        <v>1500</v>
      </c>
      <c r="Q52" s="297">
        <f t="shared" si="22"/>
        <v>1500</v>
      </c>
      <c r="R52" s="297">
        <f t="shared" si="22"/>
        <v>1500</v>
      </c>
      <c r="S52" s="297">
        <f t="shared" si="22"/>
        <v>1500</v>
      </c>
      <c r="T52" s="297">
        <f t="shared" si="22"/>
        <v>1500</v>
      </c>
      <c r="U52" s="297">
        <f t="shared" si="22"/>
        <v>1500</v>
      </c>
      <c r="V52" s="297">
        <f t="shared" si="22"/>
        <v>1500</v>
      </c>
      <c r="W52" s="297">
        <f t="shared" si="22"/>
        <v>1500</v>
      </c>
      <c r="X52" s="363"/>
    </row>
    <row r="53" spans="1:24" x14ac:dyDescent="0.15">
      <c r="A53" s="244"/>
      <c r="B53" s="244"/>
      <c r="C53" s="244"/>
      <c r="D53" s="244"/>
      <c r="E53" s="244"/>
      <c r="F53" s="244"/>
      <c r="G53" s="244"/>
      <c r="H53" s="244"/>
      <c r="I53" s="244"/>
      <c r="J53" s="437"/>
      <c r="K53" s="419" t="s">
        <v>112</v>
      </c>
      <c r="L53" s="420"/>
      <c r="M53" s="148">
        <v>1.2</v>
      </c>
      <c r="N53" s="148">
        <v>1.2</v>
      </c>
      <c r="O53" s="148">
        <v>1.5</v>
      </c>
      <c r="P53" s="148">
        <v>1.5</v>
      </c>
      <c r="Q53" s="148">
        <v>2</v>
      </c>
      <c r="R53" s="148">
        <v>2</v>
      </c>
      <c r="S53" s="148">
        <v>2</v>
      </c>
      <c r="T53" s="148">
        <v>2</v>
      </c>
      <c r="U53" s="148">
        <v>2</v>
      </c>
      <c r="V53" s="148">
        <v>2</v>
      </c>
      <c r="W53" s="148">
        <v>2</v>
      </c>
      <c r="X53" s="363"/>
    </row>
    <row r="54" spans="1:24" x14ac:dyDescent="0.15">
      <c r="A54" s="244"/>
      <c r="B54" s="244"/>
      <c r="C54" s="244"/>
      <c r="D54" s="244"/>
      <c r="E54" s="244"/>
      <c r="F54" s="244"/>
      <c r="G54" s="244"/>
      <c r="H54" s="244"/>
      <c r="I54" s="244"/>
      <c r="J54" s="437"/>
      <c r="K54" s="411" t="s">
        <v>221</v>
      </c>
      <c r="L54" s="412"/>
      <c r="M54" s="146">
        <v>30000</v>
      </c>
      <c r="N54" s="146">
        <v>30000</v>
      </c>
      <c r="O54" s="146">
        <v>30000</v>
      </c>
      <c r="P54" s="146">
        <v>30000</v>
      </c>
      <c r="Q54" s="146">
        <v>30000</v>
      </c>
      <c r="R54" s="146">
        <v>30000</v>
      </c>
      <c r="S54" s="146">
        <v>30000</v>
      </c>
      <c r="T54" s="146">
        <v>30000</v>
      </c>
      <c r="U54" s="146">
        <v>30000</v>
      </c>
      <c r="V54" s="146">
        <v>30000</v>
      </c>
      <c r="W54" s="146">
        <v>30000</v>
      </c>
      <c r="X54" s="363"/>
    </row>
    <row r="55" spans="1:24" x14ac:dyDescent="0.15">
      <c r="A55" s="244"/>
      <c r="B55" s="244"/>
      <c r="C55" s="244"/>
      <c r="D55" s="244"/>
      <c r="E55" s="244"/>
      <c r="F55" s="244"/>
      <c r="G55" s="244"/>
      <c r="H55" s="244"/>
      <c r="I55" s="244"/>
      <c r="J55" s="437"/>
      <c r="K55" s="340" t="s">
        <v>187</v>
      </c>
      <c r="L55" s="249">
        <v>0.25</v>
      </c>
      <c r="M55" s="297">
        <f>+M54*$L$55</f>
        <v>7500</v>
      </c>
      <c r="N55" s="297">
        <f t="shared" ref="N55:W55" si="23">+N54*$L$55</f>
        <v>7500</v>
      </c>
      <c r="O55" s="297">
        <f t="shared" si="23"/>
        <v>7500</v>
      </c>
      <c r="P55" s="297">
        <f t="shared" si="23"/>
        <v>7500</v>
      </c>
      <c r="Q55" s="297">
        <f t="shared" si="23"/>
        <v>7500</v>
      </c>
      <c r="R55" s="297">
        <f t="shared" si="23"/>
        <v>7500</v>
      </c>
      <c r="S55" s="297">
        <f t="shared" si="23"/>
        <v>7500</v>
      </c>
      <c r="T55" s="297">
        <f t="shared" si="23"/>
        <v>7500</v>
      </c>
      <c r="U55" s="297">
        <f t="shared" si="23"/>
        <v>7500</v>
      </c>
      <c r="V55" s="297">
        <f t="shared" si="23"/>
        <v>7500</v>
      </c>
      <c r="W55" s="297">
        <f t="shared" si="23"/>
        <v>7500</v>
      </c>
      <c r="X55" s="363"/>
    </row>
    <row r="56" spans="1:24" x14ac:dyDescent="0.15">
      <c r="A56" s="244"/>
      <c r="B56" s="244"/>
      <c r="C56" s="244"/>
      <c r="D56" s="244"/>
      <c r="E56" s="244"/>
      <c r="F56" s="244"/>
      <c r="G56" s="244"/>
      <c r="H56" s="244"/>
      <c r="I56" s="244"/>
      <c r="J56" s="437"/>
      <c r="K56" s="419" t="s">
        <v>111</v>
      </c>
      <c r="L56" s="420"/>
      <c r="M56" s="149">
        <v>1</v>
      </c>
      <c r="N56" s="149">
        <v>1</v>
      </c>
      <c r="O56" s="149">
        <v>1.5</v>
      </c>
      <c r="P56" s="149">
        <v>1.5</v>
      </c>
      <c r="Q56" s="149">
        <v>2</v>
      </c>
      <c r="R56" s="149">
        <v>2</v>
      </c>
      <c r="S56" s="149">
        <v>2</v>
      </c>
      <c r="T56" s="149">
        <v>2</v>
      </c>
      <c r="U56" s="149">
        <v>2</v>
      </c>
      <c r="V56" s="149">
        <v>2</v>
      </c>
      <c r="W56" s="149">
        <v>2</v>
      </c>
      <c r="X56" s="363"/>
    </row>
    <row r="57" spans="1:24" x14ac:dyDescent="0.15">
      <c r="A57" s="244"/>
      <c r="B57" s="244"/>
      <c r="C57" s="244"/>
      <c r="D57" s="244"/>
      <c r="E57" s="244"/>
      <c r="F57" s="244"/>
      <c r="G57" s="244"/>
      <c r="H57" s="244"/>
      <c r="I57" s="244"/>
      <c r="J57" s="437"/>
      <c r="K57" s="411" t="s">
        <v>222</v>
      </c>
      <c r="L57" s="412"/>
      <c r="M57" s="146">
        <v>25000</v>
      </c>
      <c r="N57" s="146">
        <v>25000</v>
      </c>
      <c r="O57" s="146">
        <v>25000</v>
      </c>
      <c r="P57" s="146">
        <v>40000</v>
      </c>
      <c r="Q57" s="146">
        <v>40000</v>
      </c>
      <c r="R57" s="146">
        <v>40000</v>
      </c>
      <c r="S57" s="146">
        <v>40000</v>
      </c>
      <c r="T57" s="146">
        <v>40000</v>
      </c>
      <c r="U57" s="146">
        <v>40000</v>
      </c>
      <c r="V57" s="146">
        <v>40000</v>
      </c>
      <c r="W57" s="146">
        <v>40000</v>
      </c>
      <c r="X57" s="363"/>
    </row>
    <row r="58" spans="1:24" x14ac:dyDescent="0.15">
      <c r="A58" s="244"/>
      <c r="B58" s="244"/>
      <c r="C58" s="244"/>
      <c r="D58" s="244"/>
      <c r="E58" s="244"/>
      <c r="F58" s="244"/>
      <c r="G58" s="244"/>
      <c r="H58" s="244"/>
      <c r="I58" s="244"/>
      <c r="J58" s="437"/>
      <c r="K58" s="340" t="s">
        <v>187</v>
      </c>
      <c r="L58" s="249">
        <v>0.03</v>
      </c>
      <c r="M58" s="297">
        <f>+M57*$L$58</f>
        <v>750</v>
      </c>
      <c r="N58" s="297">
        <f t="shared" ref="N58:W58" si="24">+N57*$L$58</f>
        <v>750</v>
      </c>
      <c r="O58" s="297">
        <f t="shared" si="24"/>
        <v>750</v>
      </c>
      <c r="P58" s="297">
        <f t="shared" si="24"/>
        <v>1200</v>
      </c>
      <c r="Q58" s="297">
        <f t="shared" si="24"/>
        <v>1200</v>
      </c>
      <c r="R58" s="297">
        <f t="shared" si="24"/>
        <v>1200</v>
      </c>
      <c r="S58" s="297">
        <f t="shared" si="24"/>
        <v>1200</v>
      </c>
      <c r="T58" s="297">
        <f t="shared" si="24"/>
        <v>1200</v>
      </c>
      <c r="U58" s="297">
        <f t="shared" si="24"/>
        <v>1200</v>
      </c>
      <c r="V58" s="297">
        <f t="shared" si="24"/>
        <v>1200</v>
      </c>
      <c r="W58" s="297">
        <f t="shared" si="24"/>
        <v>1200</v>
      </c>
      <c r="X58" s="363"/>
    </row>
    <row r="59" spans="1:24" x14ac:dyDescent="0.15">
      <c r="A59" s="244"/>
      <c r="B59" s="244"/>
      <c r="C59" s="244"/>
      <c r="D59" s="244"/>
      <c r="E59" s="244"/>
      <c r="F59" s="244"/>
      <c r="G59" s="244"/>
      <c r="H59" s="244"/>
      <c r="I59" s="244"/>
      <c r="J59" s="437"/>
      <c r="K59" s="419" t="s">
        <v>113</v>
      </c>
      <c r="L59" s="420"/>
      <c r="M59" s="147">
        <v>0.5</v>
      </c>
      <c r="N59" s="147">
        <v>0.5</v>
      </c>
      <c r="O59" s="147">
        <v>0.8</v>
      </c>
      <c r="P59" s="147">
        <v>1</v>
      </c>
      <c r="Q59" s="147">
        <v>1</v>
      </c>
      <c r="R59" s="147">
        <v>1</v>
      </c>
      <c r="S59" s="147">
        <v>1</v>
      </c>
      <c r="T59" s="147">
        <v>1</v>
      </c>
      <c r="U59" s="147">
        <v>1</v>
      </c>
      <c r="V59" s="147">
        <v>1</v>
      </c>
      <c r="W59" s="147">
        <v>1</v>
      </c>
      <c r="X59" s="363"/>
    </row>
    <row r="60" spans="1:24" x14ac:dyDescent="0.15">
      <c r="A60" s="244"/>
      <c r="B60" s="244"/>
      <c r="C60" s="244"/>
      <c r="D60" s="244"/>
      <c r="E60" s="244"/>
      <c r="F60" s="244"/>
      <c r="G60" s="244"/>
      <c r="H60" s="244"/>
      <c r="I60" s="244"/>
      <c r="J60" s="437"/>
      <c r="K60" s="421" t="s">
        <v>53</v>
      </c>
      <c r="L60" s="422"/>
      <c r="M60" s="199">
        <v>0</v>
      </c>
      <c r="N60" s="199">
        <v>0</v>
      </c>
      <c r="O60" s="199">
        <v>0</v>
      </c>
      <c r="P60" s="199">
        <v>0</v>
      </c>
      <c r="Q60" s="199">
        <v>0</v>
      </c>
      <c r="R60" s="199">
        <v>0</v>
      </c>
      <c r="S60" s="199">
        <v>0</v>
      </c>
      <c r="T60" s="199">
        <v>0</v>
      </c>
      <c r="U60" s="199">
        <v>0</v>
      </c>
      <c r="V60" s="199">
        <v>0</v>
      </c>
      <c r="W60" s="199">
        <v>0</v>
      </c>
      <c r="X60" s="363"/>
    </row>
    <row r="61" spans="1:24" x14ac:dyDescent="0.15">
      <c r="A61" s="244"/>
      <c r="B61" s="244"/>
      <c r="C61" s="244"/>
      <c r="D61" s="244"/>
      <c r="E61" s="244"/>
      <c r="F61" s="244"/>
      <c r="G61" s="244"/>
      <c r="H61" s="244"/>
      <c r="I61" s="244"/>
      <c r="J61" s="437"/>
      <c r="K61" s="423" t="s">
        <v>54</v>
      </c>
      <c r="L61" s="424"/>
      <c r="M61" s="200">
        <v>0</v>
      </c>
      <c r="N61" s="200">
        <v>0</v>
      </c>
      <c r="O61" s="200">
        <v>0</v>
      </c>
      <c r="P61" s="200">
        <v>0</v>
      </c>
      <c r="Q61" s="200">
        <v>0</v>
      </c>
      <c r="R61" s="200">
        <v>0</v>
      </c>
      <c r="S61" s="200">
        <v>0</v>
      </c>
      <c r="T61" s="200">
        <v>0</v>
      </c>
      <c r="U61" s="200">
        <v>0</v>
      </c>
      <c r="V61" s="200">
        <v>0</v>
      </c>
      <c r="W61" s="200">
        <v>0</v>
      </c>
      <c r="X61" s="363"/>
    </row>
    <row r="62" spans="1:24" x14ac:dyDescent="0.15">
      <c r="A62" s="244"/>
      <c r="B62" s="244"/>
      <c r="C62" s="244"/>
      <c r="D62" s="244"/>
      <c r="E62" s="244"/>
      <c r="F62" s="244"/>
      <c r="G62" s="244"/>
      <c r="H62" s="244"/>
      <c r="I62" s="244"/>
      <c r="J62" s="437"/>
      <c r="K62" s="409" t="s">
        <v>55</v>
      </c>
      <c r="L62" s="410"/>
      <c r="M62" s="201">
        <v>0</v>
      </c>
      <c r="N62" s="201">
        <v>0</v>
      </c>
      <c r="O62" s="201">
        <v>0</v>
      </c>
      <c r="P62" s="201">
        <v>0</v>
      </c>
      <c r="Q62" s="201">
        <v>0</v>
      </c>
      <c r="R62" s="201">
        <v>0</v>
      </c>
      <c r="S62" s="201">
        <v>0</v>
      </c>
      <c r="T62" s="201">
        <v>0</v>
      </c>
      <c r="U62" s="201">
        <v>0</v>
      </c>
      <c r="V62" s="201">
        <v>0</v>
      </c>
      <c r="W62" s="201">
        <v>0</v>
      </c>
      <c r="X62" s="363"/>
    </row>
    <row r="63" spans="1:24" x14ac:dyDescent="0.15">
      <c r="A63" s="244"/>
      <c r="B63" s="244"/>
      <c r="C63" s="244"/>
      <c r="D63" s="244"/>
      <c r="E63" s="244"/>
      <c r="F63" s="244"/>
      <c r="G63" s="244"/>
      <c r="H63" s="244"/>
      <c r="I63" s="244"/>
      <c r="J63" s="437"/>
      <c r="K63" s="411" t="s">
        <v>114</v>
      </c>
      <c r="L63" s="412"/>
      <c r="M63" s="151">
        <v>1</v>
      </c>
      <c r="N63" s="151">
        <v>1.4</v>
      </c>
      <c r="O63" s="151">
        <v>1.8</v>
      </c>
      <c r="P63" s="151">
        <v>2</v>
      </c>
      <c r="Q63" s="151">
        <v>2</v>
      </c>
      <c r="R63" s="151">
        <v>2</v>
      </c>
      <c r="S63" s="151">
        <v>2</v>
      </c>
      <c r="T63" s="151">
        <v>2</v>
      </c>
      <c r="U63" s="151">
        <v>2</v>
      </c>
      <c r="V63" s="151">
        <v>2</v>
      </c>
      <c r="W63" s="151">
        <v>2</v>
      </c>
      <c r="X63" s="363"/>
    </row>
    <row r="64" spans="1:24" ht="14" thickBot="1" x14ac:dyDescent="0.2">
      <c r="A64" s="244"/>
      <c r="B64" s="244"/>
      <c r="C64" s="244"/>
      <c r="D64" s="244"/>
      <c r="E64" s="244"/>
      <c r="F64" s="244"/>
      <c r="G64" s="244"/>
      <c r="H64" s="244"/>
      <c r="I64" s="244"/>
      <c r="J64" s="438"/>
      <c r="K64" s="413" t="s">
        <v>115</v>
      </c>
      <c r="L64" s="414"/>
      <c r="M64" s="341">
        <v>42000</v>
      </c>
      <c r="N64" s="368"/>
      <c r="O64" s="368"/>
      <c r="P64" s="368"/>
      <c r="Q64" s="368"/>
      <c r="R64" s="368"/>
      <c r="S64" s="368"/>
      <c r="T64" s="368"/>
      <c r="U64" s="368"/>
      <c r="V64" s="368"/>
      <c r="W64" s="368"/>
      <c r="X64" s="363"/>
    </row>
    <row r="65" spans="1:24" x14ac:dyDescent="0.15">
      <c r="A65" s="244"/>
      <c r="B65" s="244"/>
      <c r="C65" s="244"/>
      <c r="D65" s="244"/>
      <c r="E65" s="244"/>
      <c r="F65" s="244"/>
      <c r="G65" s="244"/>
      <c r="H65" s="244"/>
      <c r="I65" s="244"/>
      <c r="K65" s="6"/>
    </row>
    <row r="66" spans="1:24" ht="16" thickBot="1" x14ac:dyDescent="0.25">
      <c r="A66" s="244"/>
      <c r="B66" s="244"/>
      <c r="C66" s="244"/>
      <c r="D66" s="244"/>
      <c r="E66" s="244"/>
      <c r="F66" s="244"/>
      <c r="G66" s="244"/>
      <c r="H66" s="244"/>
      <c r="I66" s="244"/>
      <c r="K66" s="123" t="s">
        <v>214</v>
      </c>
    </row>
    <row r="67" spans="1:24" ht="12.75" customHeight="1" x14ac:dyDescent="0.15">
      <c r="A67" s="244"/>
      <c r="B67" s="244"/>
      <c r="C67" s="244"/>
      <c r="D67" s="244"/>
      <c r="E67" s="244"/>
      <c r="F67" s="244"/>
      <c r="G67" s="244"/>
      <c r="H67" s="244"/>
      <c r="I67" s="244"/>
      <c r="J67" s="436" t="s">
        <v>56</v>
      </c>
      <c r="K67" s="430" t="s">
        <v>67</v>
      </c>
      <c r="L67" s="431"/>
      <c r="M67" s="369">
        <f>+$F$11</f>
        <v>43101</v>
      </c>
      <c r="N67" s="434" t="s">
        <v>65</v>
      </c>
      <c r="O67" s="434"/>
      <c r="P67" s="434"/>
      <c r="Q67" s="434"/>
      <c r="R67" s="434"/>
      <c r="S67" s="434"/>
      <c r="T67" s="434"/>
      <c r="U67" s="434"/>
      <c r="V67" s="434"/>
      <c r="W67" s="435"/>
      <c r="X67" s="363"/>
    </row>
    <row r="68" spans="1:24" ht="12.75" customHeight="1" x14ac:dyDescent="0.15">
      <c r="A68" s="244"/>
      <c r="B68" s="244"/>
      <c r="C68" s="244"/>
      <c r="D68" s="244"/>
      <c r="E68" s="244"/>
      <c r="F68" s="244"/>
      <c r="G68" s="244"/>
      <c r="H68" s="244"/>
      <c r="I68" s="244"/>
      <c r="J68" s="437"/>
      <c r="K68" s="432"/>
      <c r="L68" s="433"/>
      <c r="M68" s="160">
        <v>0</v>
      </c>
      <c r="N68" s="160">
        <v>1</v>
      </c>
      <c r="O68" s="160">
        <v>2</v>
      </c>
      <c r="P68" s="160">
        <v>3</v>
      </c>
      <c r="Q68" s="160">
        <v>4</v>
      </c>
      <c r="R68" s="160">
        <v>5</v>
      </c>
      <c r="S68" s="160">
        <v>6</v>
      </c>
      <c r="T68" s="160">
        <v>7</v>
      </c>
      <c r="U68" s="160">
        <v>8</v>
      </c>
      <c r="V68" s="160">
        <v>9</v>
      </c>
      <c r="W68" s="361">
        <v>10</v>
      </c>
      <c r="X68" s="363"/>
    </row>
    <row r="69" spans="1:24" x14ac:dyDescent="0.15">
      <c r="A69" s="244"/>
      <c r="B69" s="244"/>
      <c r="C69" s="244"/>
      <c r="D69" s="244"/>
      <c r="E69" s="244"/>
      <c r="F69" s="244"/>
      <c r="G69" s="244"/>
      <c r="H69" s="244"/>
      <c r="I69" s="244"/>
      <c r="J69" s="437"/>
      <c r="K69" s="439" t="s">
        <v>26</v>
      </c>
      <c r="L69" s="440"/>
      <c r="M69" s="152">
        <v>100000</v>
      </c>
      <c r="N69" s="152">
        <v>0</v>
      </c>
      <c r="O69" s="152">
        <v>0</v>
      </c>
      <c r="P69" s="152">
        <v>0</v>
      </c>
      <c r="Q69" s="152">
        <v>0</v>
      </c>
      <c r="R69" s="152">
        <v>0</v>
      </c>
      <c r="S69" s="152">
        <v>0</v>
      </c>
      <c r="T69" s="152">
        <v>0</v>
      </c>
      <c r="U69" s="152">
        <v>0</v>
      </c>
      <c r="V69" s="152">
        <v>0</v>
      </c>
      <c r="W69" s="152">
        <v>0</v>
      </c>
      <c r="X69" s="363"/>
    </row>
    <row r="70" spans="1:24" x14ac:dyDescent="0.15">
      <c r="A70" s="244"/>
      <c r="B70" s="244"/>
      <c r="C70" s="244"/>
      <c r="D70" s="244"/>
      <c r="E70" s="244"/>
      <c r="F70" s="244"/>
      <c r="G70" s="244"/>
      <c r="H70" s="244"/>
      <c r="I70" s="244"/>
      <c r="J70" s="437"/>
      <c r="K70" s="441" t="s">
        <v>27</v>
      </c>
      <c r="L70" s="442"/>
      <c r="M70" s="153">
        <v>0</v>
      </c>
      <c r="N70" s="153">
        <v>20000</v>
      </c>
      <c r="O70" s="153">
        <v>0</v>
      </c>
      <c r="P70" s="153">
        <v>0</v>
      </c>
      <c r="Q70" s="153">
        <v>0</v>
      </c>
      <c r="R70" s="153">
        <v>0</v>
      </c>
      <c r="S70" s="153">
        <v>0</v>
      </c>
      <c r="T70" s="153">
        <v>0</v>
      </c>
      <c r="U70" s="153">
        <v>50000</v>
      </c>
      <c r="V70" s="153">
        <v>0</v>
      </c>
      <c r="W70" s="153">
        <v>0</v>
      </c>
      <c r="X70" s="363"/>
    </row>
    <row r="71" spans="1:24" x14ac:dyDescent="0.15">
      <c r="A71" s="244"/>
      <c r="B71" s="244"/>
      <c r="C71" s="244"/>
      <c r="D71" s="244"/>
      <c r="E71" s="244"/>
      <c r="F71" s="244"/>
      <c r="G71" s="244"/>
      <c r="H71" s="244"/>
      <c r="I71" s="244"/>
      <c r="J71" s="437"/>
      <c r="K71" s="411" t="s">
        <v>116</v>
      </c>
      <c r="L71" s="443"/>
      <c r="M71" s="150">
        <v>5</v>
      </c>
      <c r="N71" s="250"/>
      <c r="O71" s="250"/>
      <c r="P71" s="250"/>
      <c r="Q71" s="250"/>
      <c r="R71" s="250"/>
      <c r="S71" s="250"/>
      <c r="T71" s="250"/>
      <c r="U71" s="250"/>
      <c r="V71" s="250"/>
      <c r="W71" s="250"/>
      <c r="X71" s="363"/>
    </row>
    <row r="72" spans="1:24" x14ac:dyDescent="0.15">
      <c r="A72" s="244"/>
      <c r="B72" s="244"/>
      <c r="C72" s="244"/>
      <c r="D72" s="244"/>
      <c r="E72" s="244"/>
      <c r="F72" s="244"/>
      <c r="G72" s="244"/>
      <c r="H72" s="244"/>
      <c r="I72" s="244"/>
      <c r="J72" s="437"/>
      <c r="K72" s="439" t="s">
        <v>28</v>
      </c>
      <c r="L72" s="440"/>
      <c r="M72" s="152">
        <v>5000</v>
      </c>
      <c r="N72" s="152">
        <v>0</v>
      </c>
      <c r="O72" s="152">
        <v>0</v>
      </c>
      <c r="P72" s="152">
        <v>0</v>
      </c>
      <c r="Q72" s="152">
        <v>0</v>
      </c>
      <c r="R72" s="152">
        <v>0</v>
      </c>
      <c r="S72" s="152">
        <v>0</v>
      </c>
      <c r="T72" s="152">
        <v>0</v>
      </c>
      <c r="U72" s="152">
        <v>0</v>
      </c>
      <c r="V72" s="152">
        <v>0</v>
      </c>
      <c r="W72" s="152">
        <v>0</v>
      </c>
      <c r="X72" s="363"/>
    </row>
    <row r="73" spans="1:24" x14ac:dyDescent="0.15">
      <c r="A73" s="244"/>
      <c r="B73" s="244"/>
      <c r="C73" s="244"/>
      <c r="D73" s="244"/>
      <c r="E73" s="244"/>
      <c r="F73" s="244"/>
      <c r="G73" s="244"/>
      <c r="H73" s="244"/>
      <c r="I73" s="244"/>
      <c r="J73" s="437"/>
      <c r="K73" s="441" t="s">
        <v>49</v>
      </c>
      <c r="L73" s="442"/>
      <c r="M73" s="153">
        <v>0</v>
      </c>
      <c r="N73" s="153">
        <v>0</v>
      </c>
      <c r="O73" s="153">
        <v>0</v>
      </c>
      <c r="P73" s="153">
        <v>0</v>
      </c>
      <c r="Q73" s="153">
        <v>0</v>
      </c>
      <c r="R73" s="153">
        <v>0</v>
      </c>
      <c r="S73" s="153">
        <v>0</v>
      </c>
      <c r="T73" s="153">
        <v>0</v>
      </c>
      <c r="U73" s="153">
        <v>0</v>
      </c>
      <c r="V73" s="153">
        <v>0</v>
      </c>
      <c r="W73" s="153">
        <v>0</v>
      </c>
      <c r="X73" s="363"/>
    </row>
    <row r="74" spans="1:24" ht="14" thickBot="1" x14ac:dyDescent="0.2">
      <c r="A74" s="244"/>
      <c r="B74" s="244"/>
      <c r="C74" s="244"/>
      <c r="D74" s="244"/>
      <c r="E74" s="244"/>
      <c r="F74" s="244"/>
      <c r="G74" s="244"/>
      <c r="H74" s="244"/>
      <c r="I74" s="244"/>
      <c r="J74" s="438"/>
      <c r="K74" s="444" t="s">
        <v>116</v>
      </c>
      <c r="L74" s="445"/>
      <c r="M74" s="341">
        <v>7</v>
      </c>
      <c r="N74" s="368"/>
      <c r="O74" s="368"/>
      <c r="P74" s="368"/>
      <c r="Q74" s="368"/>
      <c r="R74" s="368"/>
      <c r="S74" s="368"/>
      <c r="T74" s="368"/>
      <c r="U74" s="368"/>
      <c r="V74" s="368"/>
      <c r="W74" s="368"/>
      <c r="X74" s="363"/>
    </row>
    <row r="75" spans="1:24" x14ac:dyDescent="0.15">
      <c r="A75" s="244"/>
      <c r="B75" s="244"/>
      <c r="C75" s="244"/>
      <c r="D75" s="244"/>
      <c r="E75" s="244"/>
      <c r="F75" s="244"/>
      <c r="G75" s="244"/>
      <c r="H75" s="244"/>
      <c r="I75" s="244"/>
    </row>
    <row r="76" spans="1:24" x14ac:dyDescent="0.15">
      <c r="A76">
        <v>2.11</v>
      </c>
      <c r="B76" s="2" t="s">
        <v>189</v>
      </c>
      <c r="C76" s="244"/>
      <c r="D76" s="244"/>
      <c r="E76" s="244"/>
      <c r="F76" s="244"/>
      <c r="G76" s="244"/>
      <c r="H76" s="244"/>
      <c r="I76" s="244"/>
    </row>
    <row r="77" spans="1:24" x14ac:dyDescent="0.15">
      <c r="B77" s="5" t="s">
        <v>190</v>
      </c>
      <c r="C77" s="244"/>
      <c r="D77" s="244"/>
      <c r="E77" s="244"/>
      <c r="F77" s="244"/>
      <c r="G77" s="244"/>
      <c r="H77" s="244"/>
      <c r="I77" s="244"/>
    </row>
    <row r="78" spans="1:24" ht="14" thickBot="1" x14ac:dyDescent="0.2">
      <c r="A78" s="244"/>
      <c r="B78" s="244"/>
      <c r="C78" s="244"/>
      <c r="D78" s="244"/>
      <c r="E78" s="244"/>
      <c r="F78" s="244"/>
      <c r="G78" s="244"/>
      <c r="H78" s="244"/>
      <c r="I78" s="244"/>
      <c r="K78" s="2" t="s">
        <v>215</v>
      </c>
    </row>
    <row r="79" spans="1:24" ht="12.75" customHeight="1" x14ac:dyDescent="0.15">
      <c r="A79" s="244"/>
      <c r="B79" s="244"/>
      <c r="C79" s="244"/>
      <c r="D79" s="244"/>
      <c r="E79" s="244"/>
      <c r="F79" s="244"/>
      <c r="G79" s="244"/>
      <c r="H79" s="244"/>
      <c r="I79" s="244"/>
      <c r="J79" s="387" t="s">
        <v>71</v>
      </c>
      <c r="K79" s="404" t="s">
        <v>219</v>
      </c>
      <c r="L79" s="405"/>
      <c r="M79" s="338">
        <f>+$F$11</f>
        <v>43101</v>
      </c>
      <c r="N79" s="396" t="s">
        <v>65</v>
      </c>
      <c r="O79" s="397"/>
      <c r="P79" s="397"/>
      <c r="Q79" s="397"/>
      <c r="R79" s="397"/>
      <c r="S79" s="397"/>
      <c r="T79" s="397"/>
      <c r="U79" s="397"/>
      <c r="V79" s="397"/>
      <c r="W79" s="397"/>
      <c r="X79" s="363"/>
    </row>
    <row r="80" spans="1:24" x14ac:dyDescent="0.15">
      <c r="A80" s="244"/>
      <c r="B80" s="244"/>
      <c r="C80" s="244"/>
      <c r="D80" s="244"/>
      <c r="E80" s="244"/>
      <c r="F80" s="244"/>
      <c r="G80" s="244"/>
      <c r="H80" s="244"/>
      <c r="I80" s="244"/>
      <c r="J80" s="388"/>
      <c r="K80" s="406"/>
      <c r="L80" s="407"/>
      <c r="M80" s="160">
        <v>0</v>
      </c>
      <c r="N80" s="160">
        <v>1</v>
      </c>
      <c r="O80" s="160">
        <v>2</v>
      </c>
      <c r="P80" s="160">
        <v>3</v>
      </c>
      <c r="Q80" s="160">
        <v>4</v>
      </c>
      <c r="R80" s="160">
        <v>5</v>
      </c>
      <c r="S80" s="160">
        <v>6</v>
      </c>
      <c r="T80" s="160">
        <v>7</v>
      </c>
      <c r="U80" s="160">
        <v>8</v>
      </c>
      <c r="V80" s="160">
        <v>9</v>
      </c>
      <c r="W80" s="361">
        <v>10</v>
      </c>
      <c r="X80" s="363"/>
    </row>
    <row r="81" spans="1:24" x14ac:dyDescent="0.15">
      <c r="A81" s="244"/>
      <c r="B81" s="244"/>
      <c r="C81" s="244"/>
      <c r="D81" s="244"/>
      <c r="E81" s="244"/>
      <c r="F81" s="244"/>
      <c r="G81" s="244"/>
      <c r="H81" s="244"/>
      <c r="I81" s="244"/>
      <c r="J81" s="388"/>
      <c r="K81" s="446" t="str">
        <f>+B21</f>
        <v>Customer Segment 1 (CS1)</v>
      </c>
      <c r="L81" s="412"/>
      <c r="M81" s="371">
        <v>10</v>
      </c>
      <c r="N81" s="371">
        <v>100</v>
      </c>
      <c r="O81" s="371">
        <v>200</v>
      </c>
      <c r="P81" s="371">
        <v>220</v>
      </c>
      <c r="Q81" s="371">
        <v>200</v>
      </c>
      <c r="R81" s="371">
        <v>500</v>
      </c>
      <c r="S81" s="371">
        <v>600</v>
      </c>
      <c r="T81" s="371">
        <v>650</v>
      </c>
      <c r="U81" s="371">
        <v>800</v>
      </c>
      <c r="V81" s="144">
        <v>450</v>
      </c>
      <c r="W81" s="144">
        <v>450</v>
      </c>
      <c r="X81" s="363"/>
    </row>
    <row r="82" spans="1:24" x14ac:dyDescent="0.15">
      <c r="A82" s="244"/>
      <c r="B82" s="244"/>
      <c r="C82" s="244"/>
      <c r="D82" s="244"/>
      <c r="E82" s="244"/>
      <c r="F82" s="244"/>
      <c r="G82" s="244"/>
      <c r="H82" s="244"/>
      <c r="I82" s="244"/>
      <c r="J82" s="388"/>
      <c r="K82" s="447" t="str">
        <f t="shared" ref="K82:K83" si="25">+B22</f>
        <v>Customer Segment 2 (CS2)</v>
      </c>
      <c r="L82" s="448"/>
      <c r="M82" s="372">
        <v>0</v>
      </c>
      <c r="N82" s="372">
        <v>0</v>
      </c>
      <c r="O82" s="372">
        <v>5</v>
      </c>
      <c r="P82" s="372">
        <v>0</v>
      </c>
      <c r="Q82" s="372">
        <v>4</v>
      </c>
      <c r="R82" s="372">
        <v>4</v>
      </c>
      <c r="S82" s="372">
        <v>4</v>
      </c>
      <c r="T82" s="372">
        <v>4</v>
      </c>
      <c r="U82" s="372">
        <v>4</v>
      </c>
      <c r="V82" s="145">
        <v>4</v>
      </c>
      <c r="W82" s="145">
        <v>4</v>
      </c>
      <c r="X82" s="363"/>
    </row>
    <row r="83" spans="1:24" ht="14" thickBot="1" x14ac:dyDescent="0.2">
      <c r="A83" s="244"/>
      <c r="B83" s="244"/>
      <c r="C83" s="244"/>
      <c r="D83" s="244"/>
      <c r="E83" s="244"/>
      <c r="F83" s="244"/>
      <c r="G83" s="244"/>
      <c r="H83" s="244"/>
      <c r="I83" s="244"/>
      <c r="J83" s="389"/>
      <c r="K83" s="449" t="str">
        <f t="shared" si="25"/>
        <v>Customer Segment 3 (CS3)</v>
      </c>
      <c r="L83" s="414"/>
      <c r="M83" s="373">
        <v>0</v>
      </c>
      <c r="N83" s="373">
        <v>0</v>
      </c>
      <c r="O83" s="373">
        <v>0</v>
      </c>
      <c r="P83" s="373">
        <v>2</v>
      </c>
      <c r="Q83" s="373">
        <v>0</v>
      </c>
      <c r="R83" s="373">
        <v>0</v>
      </c>
      <c r="S83" s="373">
        <v>0</v>
      </c>
      <c r="T83" s="373">
        <v>0</v>
      </c>
      <c r="U83" s="373">
        <v>0</v>
      </c>
      <c r="V83" s="342">
        <v>0</v>
      </c>
      <c r="W83" s="342">
        <v>0</v>
      </c>
      <c r="X83" s="363"/>
    </row>
    <row r="84" spans="1:24" ht="12.75" customHeight="1" x14ac:dyDescent="0.15">
      <c r="A84" s="244"/>
      <c r="B84" s="244"/>
      <c r="C84" s="244"/>
      <c r="D84" s="244"/>
      <c r="E84" s="244"/>
      <c r="F84" s="244"/>
      <c r="G84" s="244"/>
      <c r="H84" s="244"/>
      <c r="I84" s="244"/>
    </row>
    <row r="85" spans="1:24" x14ac:dyDescent="0.15">
      <c r="A85">
        <v>2.12</v>
      </c>
      <c r="B85" s="2" t="s">
        <v>86</v>
      </c>
    </row>
    <row r="87" spans="1:24" x14ac:dyDescent="0.15">
      <c r="B87" s="104" t="s">
        <v>45</v>
      </c>
      <c r="C87" s="102">
        <v>0.1</v>
      </c>
    </row>
  </sheetData>
  <mergeCells count="49">
    <mergeCell ref="K79:L80"/>
    <mergeCell ref="N79:W79"/>
    <mergeCell ref="J79:J83"/>
    <mergeCell ref="K81:L81"/>
    <mergeCell ref="K82:L82"/>
    <mergeCell ref="K83:L83"/>
    <mergeCell ref="N49:W49"/>
    <mergeCell ref="K49:L50"/>
    <mergeCell ref="K67:L68"/>
    <mergeCell ref="N67:W67"/>
    <mergeCell ref="J40:J46"/>
    <mergeCell ref="J49:J64"/>
    <mergeCell ref="J67:J74"/>
    <mergeCell ref="K69:L69"/>
    <mergeCell ref="K70:L70"/>
    <mergeCell ref="K71:L71"/>
    <mergeCell ref="K72:L72"/>
    <mergeCell ref="K73:L73"/>
    <mergeCell ref="K74:L74"/>
    <mergeCell ref="K51:L51"/>
    <mergeCell ref="K53:L53"/>
    <mergeCell ref="K54:L54"/>
    <mergeCell ref="K62:L62"/>
    <mergeCell ref="K63:L63"/>
    <mergeCell ref="K64:L64"/>
    <mergeCell ref="K44:L44"/>
    <mergeCell ref="K45:L45"/>
    <mergeCell ref="K46:L46"/>
    <mergeCell ref="K56:L56"/>
    <mergeCell ref="K57:L57"/>
    <mergeCell ref="K59:L59"/>
    <mergeCell ref="K60:L60"/>
    <mergeCell ref="K61:L61"/>
    <mergeCell ref="N29:W29"/>
    <mergeCell ref="N40:W40"/>
    <mergeCell ref="K42:L42"/>
    <mergeCell ref="M42:W42"/>
    <mergeCell ref="K43:L43"/>
    <mergeCell ref="K40:L41"/>
    <mergeCell ref="C29:L29"/>
    <mergeCell ref="C19:C20"/>
    <mergeCell ref="D19:D20"/>
    <mergeCell ref="E19:E20"/>
    <mergeCell ref="C5:C6"/>
    <mergeCell ref="A21:A23"/>
    <mergeCell ref="B19:B20"/>
    <mergeCell ref="A5:A11"/>
    <mergeCell ref="B5:B6"/>
    <mergeCell ref="D5:D6"/>
  </mergeCells>
  <conditionalFormatting sqref="B30">
    <cfRule type="expression" dxfId="81" priority="115">
      <formula>#REF!="Yes"</formula>
    </cfRule>
  </conditionalFormatting>
  <conditionalFormatting sqref="B30">
    <cfRule type="expression" dxfId="80" priority="114">
      <formula>#REF!="No"</formula>
    </cfRule>
  </conditionalFormatting>
  <conditionalFormatting sqref="B30">
    <cfRule type="expression" dxfId="79" priority="113">
      <formula>#REF!="Yes"</formula>
    </cfRule>
  </conditionalFormatting>
  <conditionalFormatting sqref="C30">
    <cfRule type="expression" dxfId="78" priority="88">
      <formula>#REF!="Yes"</formula>
    </cfRule>
  </conditionalFormatting>
  <conditionalFormatting sqref="C30">
    <cfRule type="expression" dxfId="77" priority="87">
      <formula>#REF!="No"</formula>
    </cfRule>
  </conditionalFormatting>
  <conditionalFormatting sqref="C30">
    <cfRule type="expression" dxfId="76" priority="86">
      <formula>#REF!="Yes"</formula>
    </cfRule>
  </conditionalFormatting>
  <conditionalFormatting sqref="M41:W41">
    <cfRule type="expression" dxfId="75" priority="81">
      <formula>#REF!="Yes"</formula>
    </cfRule>
  </conditionalFormatting>
  <conditionalFormatting sqref="M41:W41">
    <cfRule type="expression" dxfId="74" priority="80">
      <formula>#REF!="No"</formula>
    </cfRule>
  </conditionalFormatting>
  <conditionalFormatting sqref="M41:W41">
    <cfRule type="expression" dxfId="73" priority="79">
      <formula>#REF!="Yes"</formula>
    </cfRule>
  </conditionalFormatting>
  <conditionalFormatting sqref="K42">
    <cfRule type="expression" dxfId="72" priority="78">
      <formula>#REF!="No"</formula>
    </cfRule>
  </conditionalFormatting>
  <conditionalFormatting sqref="K43 K45">
    <cfRule type="expression" dxfId="71" priority="77">
      <formula>#REF!="Yes"</formula>
    </cfRule>
  </conditionalFormatting>
  <conditionalFormatting sqref="K43 K45">
    <cfRule type="expression" dxfId="70" priority="76">
      <formula>#REF!="No"</formula>
    </cfRule>
  </conditionalFormatting>
  <conditionalFormatting sqref="K43 K45">
    <cfRule type="expression" dxfId="69" priority="75">
      <formula>#REF!="Yes"</formula>
    </cfRule>
  </conditionalFormatting>
  <conditionalFormatting sqref="K44 K46">
    <cfRule type="expression" dxfId="68" priority="74">
      <formula>#REF!="Yes"</formula>
    </cfRule>
  </conditionalFormatting>
  <conditionalFormatting sqref="K44 K46">
    <cfRule type="expression" dxfId="67" priority="73">
      <formula>#REF!="No"</formula>
    </cfRule>
  </conditionalFormatting>
  <conditionalFormatting sqref="K44 K46">
    <cfRule type="expression" dxfId="66" priority="72">
      <formula>#REF!="Yes"</formula>
    </cfRule>
  </conditionalFormatting>
  <conditionalFormatting sqref="B35">
    <cfRule type="expression" dxfId="65" priority="62">
      <formula>#REF!="Yes"</formula>
    </cfRule>
  </conditionalFormatting>
  <conditionalFormatting sqref="B35">
    <cfRule type="expression" dxfId="64" priority="61">
      <formula>#REF!="No"</formula>
    </cfRule>
  </conditionalFormatting>
  <conditionalFormatting sqref="B35">
    <cfRule type="expression" dxfId="63" priority="60">
      <formula>#REF!="Yes"</formula>
    </cfRule>
  </conditionalFormatting>
  <conditionalFormatting sqref="C35">
    <cfRule type="expression" dxfId="62" priority="59">
      <formula>#REF!="Yes"</formula>
    </cfRule>
  </conditionalFormatting>
  <conditionalFormatting sqref="C35">
    <cfRule type="expression" dxfId="61" priority="58">
      <formula>#REF!="No"</formula>
    </cfRule>
  </conditionalFormatting>
  <conditionalFormatting sqref="C35">
    <cfRule type="expression" dxfId="60" priority="57">
      <formula>#REF!="Yes"</formula>
    </cfRule>
  </conditionalFormatting>
  <conditionalFormatting sqref="C30:C35">
    <cfRule type="expression" dxfId="59" priority="56">
      <formula>C$35=-1</formula>
    </cfRule>
  </conditionalFormatting>
  <conditionalFormatting sqref="D30:L30">
    <cfRule type="expression" dxfId="58" priority="55">
      <formula>#REF!="Yes"</formula>
    </cfRule>
  </conditionalFormatting>
  <conditionalFormatting sqref="D30:L30">
    <cfRule type="expression" dxfId="57" priority="54">
      <formula>#REF!="No"</formula>
    </cfRule>
  </conditionalFormatting>
  <conditionalFormatting sqref="D30:L30">
    <cfRule type="expression" dxfId="56" priority="53">
      <formula>#REF!="Yes"</formula>
    </cfRule>
  </conditionalFormatting>
  <conditionalFormatting sqref="D35:L35">
    <cfRule type="expression" dxfId="55" priority="52">
      <formula>#REF!="Yes"</formula>
    </cfRule>
  </conditionalFormatting>
  <conditionalFormatting sqref="D35:L35">
    <cfRule type="expression" dxfId="54" priority="51">
      <formula>#REF!="No"</formula>
    </cfRule>
  </conditionalFormatting>
  <conditionalFormatting sqref="D35:L35">
    <cfRule type="expression" dxfId="53" priority="50">
      <formula>#REF!="Yes"</formula>
    </cfRule>
  </conditionalFormatting>
  <conditionalFormatting sqref="D30:L35">
    <cfRule type="expression" dxfId="52" priority="49">
      <formula>D$35=-1</formula>
    </cfRule>
  </conditionalFormatting>
  <conditionalFormatting sqref="M30:W30">
    <cfRule type="expression" dxfId="51" priority="46">
      <formula>#REF!="Yes"</formula>
    </cfRule>
  </conditionalFormatting>
  <conditionalFormatting sqref="M30:W30">
    <cfRule type="expression" dxfId="50" priority="45">
      <formula>#REF!="No"</formula>
    </cfRule>
  </conditionalFormatting>
  <conditionalFormatting sqref="M30:W30">
    <cfRule type="expression" dxfId="49" priority="44">
      <formula>#REF!="Yes"</formula>
    </cfRule>
  </conditionalFormatting>
  <conditionalFormatting sqref="M35:W35">
    <cfRule type="expression" dxfId="48" priority="43">
      <formula>#REF!="Yes"</formula>
    </cfRule>
  </conditionalFormatting>
  <conditionalFormatting sqref="M35:W35">
    <cfRule type="expression" dxfId="47" priority="42">
      <formula>#REF!="No"</formula>
    </cfRule>
  </conditionalFormatting>
  <conditionalFormatting sqref="M35:W35">
    <cfRule type="expression" dxfId="46" priority="41">
      <formula>#REF!="Yes"</formula>
    </cfRule>
  </conditionalFormatting>
  <conditionalFormatting sqref="M50:W50">
    <cfRule type="expression" dxfId="45" priority="31">
      <formula>#REF!="Yes"</formula>
    </cfRule>
  </conditionalFormatting>
  <conditionalFormatting sqref="M50:W50">
    <cfRule type="expression" dxfId="44" priority="30">
      <formula>#REF!="No"</formula>
    </cfRule>
  </conditionalFormatting>
  <conditionalFormatting sqref="M50:W50">
    <cfRule type="expression" dxfId="43" priority="29">
      <formula>#REF!="Yes"</formula>
    </cfRule>
  </conditionalFormatting>
  <conditionalFormatting sqref="M68:W68">
    <cfRule type="expression" dxfId="42" priority="24">
      <formula>#REF!="Yes"</formula>
    </cfRule>
  </conditionalFormatting>
  <conditionalFormatting sqref="M68:W68">
    <cfRule type="expression" dxfId="41" priority="23">
      <formula>#REF!="No"</formula>
    </cfRule>
  </conditionalFormatting>
  <conditionalFormatting sqref="M68:W68">
    <cfRule type="expression" dxfId="40" priority="22">
      <formula>#REF!="Yes"</formula>
    </cfRule>
  </conditionalFormatting>
  <conditionalFormatting sqref="M80:W80">
    <cfRule type="expression" dxfId="39" priority="16">
      <formula>#REF!="Yes"</formula>
    </cfRule>
  </conditionalFormatting>
  <conditionalFormatting sqref="M80:W80">
    <cfRule type="expression" dxfId="38" priority="15">
      <formula>#REF!="No"</formula>
    </cfRule>
  </conditionalFormatting>
  <conditionalFormatting sqref="M80:W80">
    <cfRule type="expression" dxfId="37" priority="14">
      <formula>#REF!="Yes"</formula>
    </cfRule>
  </conditionalFormatting>
  <conditionalFormatting sqref="M30:W35">
    <cfRule type="expression" dxfId="36" priority="147">
      <formula>M$30&gt;$J$11</formula>
    </cfRule>
  </conditionalFormatting>
  <conditionalFormatting sqref="M43:W46 M41:W41">
    <cfRule type="expression" dxfId="35" priority="148">
      <formula>M$41&gt;$J$11</formula>
    </cfRule>
  </conditionalFormatting>
  <conditionalFormatting sqref="M56:W57 M59:W63 M50:W54">
    <cfRule type="expression" dxfId="34" priority="150">
      <formula>M$50&gt;$J$11</formula>
    </cfRule>
  </conditionalFormatting>
  <conditionalFormatting sqref="M68:W70 M72:W73">
    <cfRule type="expression" dxfId="33" priority="153">
      <formula>M$68&gt;$J$11</formula>
    </cfRule>
  </conditionalFormatting>
  <conditionalFormatting sqref="M80:W83">
    <cfRule type="expression" dxfId="32" priority="155">
      <formula>M$80&gt;$J$11</formula>
    </cfRule>
  </conditionalFormatting>
  <conditionalFormatting sqref="L52 L55:W55 L58:W58">
    <cfRule type="expression" dxfId="31" priority="156">
      <formula>L$50&gt;$J$11</formula>
    </cfRule>
  </conditionalFormatting>
  <conditionalFormatting sqref="D7">
    <cfRule type="expression" dxfId="30" priority="3">
      <formula>AND(C7&gt;="YES", D7=0)</formula>
    </cfRule>
  </conditionalFormatting>
  <conditionalFormatting sqref="D8:D10">
    <cfRule type="expression" dxfId="29" priority="2">
      <formula>AND(C8&gt;="YES", D8=0)</formula>
    </cfRule>
  </conditionalFormatting>
  <conditionalFormatting sqref="A31:A34">
    <cfRule type="expression" dxfId="28" priority="1">
      <formula>A$35=-1</formula>
    </cfRule>
  </conditionalFormatting>
  <dataValidations count="1">
    <dataValidation type="list" allowBlank="1" showInputMessage="1" showErrorMessage="1" sqref="C7:C10">
      <formula1>YES_NO</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9" tint="0.59999389629810485"/>
  </sheetPr>
  <dimension ref="A1:P35"/>
  <sheetViews>
    <sheetView workbookViewId="0"/>
  </sheetViews>
  <sheetFormatPr baseColWidth="10" defaultColWidth="8.83203125" defaultRowHeight="13" x14ac:dyDescent="0.15"/>
  <cols>
    <col min="1" max="1" width="5.33203125" style="18" customWidth="1"/>
    <col min="2" max="2" width="23.33203125" style="4" customWidth="1"/>
    <col min="3" max="3" width="26.33203125" style="4" customWidth="1"/>
    <col min="4" max="4" width="11.6640625" style="134" customWidth="1"/>
    <col min="5" max="5" width="13.6640625" style="134" customWidth="1"/>
    <col min="6" max="6" width="15.6640625" style="134" customWidth="1"/>
    <col min="7" max="14" width="11.6640625" style="134" customWidth="1"/>
    <col min="15" max="19" width="8.83203125" style="4"/>
    <col min="20" max="20" width="4.33203125" style="4" customWidth="1"/>
    <col min="21" max="16384" width="8.83203125" style="4"/>
  </cols>
  <sheetData>
    <row r="1" spans="1:16" x14ac:dyDescent="0.15">
      <c r="A1" s="17"/>
      <c r="B1" s="6"/>
      <c r="C1" s="6"/>
      <c r="D1" s="6"/>
      <c r="E1" s="6"/>
      <c r="F1" s="6"/>
      <c r="G1" s="5"/>
      <c r="H1" s="5"/>
      <c r="I1" s="23"/>
      <c r="J1" s="5"/>
      <c r="K1" s="5"/>
      <c r="L1" s="5"/>
      <c r="M1" s="5"/>
      <c r="N1" s="5"/>
      <c r="O1" s="5"/>
      <c r="P1" s="5"/>
    </row>
    <row r="2" spans="1:16" ht="18" x14ac:dyDescent="0.2">
      <c r="A2" s="36"/>
      <c r="B2" s="43" t="s">
        <v>186</v>
      </c>
      <c r="C2" s="31"/>
      <c r="D2" s="33"/>
      <c r="E2" s="33"/>
      <c r="F2" s="33"/>
      <c r="G2" s="35"/>
      <c r="H2" s="5"/>
      <c r="I2" s="5"/>
      <c r="J2" s="5"/>
      <c r="K2" s="5"/>
      <c r="L2" s="5"/>
      <c r="M2" s="5"/>
      <c r="N2" s="5"/>
      <c r="O2" s="5"/>
      <c r="P2" s="5"/>
    </row>
    <row r="3" spans="1:16" x14ac:dyDescent="0.15">
      <c r="A3" s="36"/>
      <c r="B3" s="48"/>
      <c r="C3" s="49"/>
      <c r="D3" s="11"/>
      <c r="E3" s="11"/>
      <c r="F3" s="11"/>
      <c r="G3" s="50"/>
      <c r="H3" s="12"/>
      <c r="I3" s="5"/>
      <c r="J3" s="5"/>
      <c r="K3" s="5"/>
      <c r="L3" s="5"/>
      <c r="M3" s="5"/>
      <c r="N3" s="5"/>
      <c r="O3" s="5"/>
      <c r="P3" s="5"/>
    </row>
    <row r="4" spans="1:16" ht="27.75" customHeight="1" x14ac:dyDescent="0.15">
      <c r="A4" s="46"/>
      <c r="B4" s="450" t="s">
        <v>63</v>
      </c>
      <c r="C4" s="452" t="s">
        <v>68</v>
      </c>
      <c r="D4" s="454" t="s">
        <v>69</v>
      </c>
      <c r="E4" s="454" t="s">
        <v>70</v>
      </c>
      <c r="F4" s="46"/>
      <c r="G4" s="46"/>
      <c r="H4" s="46"/>
      <c r="I4" s="5"/>
      <c r="J4" s="5"/>
      <c r="K4" s="5"/>
      <c r="L4" s="5"/>
      <c r="M4" s="5"/>
      <c r="N4" s="5"/>
      <c r="O4" s="5"/>
      <c r="P4" s="5"/>
    </row>
    <row r="5" spans="1:16" ht="21" customHeight="1" x14ac:dyDescent="0.15">
      <c r="A5" s="46"/>
      <c r="B5" s="451"/>
      <c r="C5" s="453"/>
      <c r="D5" s="455"/>
      <c r="E5" s="455"/>
      <c r="F5" s="6"/>
      <c r="G5" s="6"/>
      <c r="H5" s="6"/>
      <c r="I5" s="5"/>
      <c r="J5" s="5"/>
      <c r="K5" s="5"/>
      <c r="L5" s="5"/>
      <c r="M5" s="5"/>
      <c r="N5" s="5"/>
      <c r="O5" s="5"/>
      <c r="P5" s="5"/>
    </row>
    <row r="6" spans="1:16" x14ac:dyDescent="0.15">
      <c r="A6" s="17"/>
      <c r="B6" s="245" t="str">
        <f>+'I.Input Data'!B21</f>
        <v>Customer Segment 1 (CS1)</v>
      </c>
      <c r="C6" s="154">
        <f>+'I.Input Data'!C21</f>
        <v>120</v>
      </c>
      <c r="D6" s="154">
        <f>+'I.Input Data'!D21</f>
        <v>150</v>
      </c>
      <c r="E6" s="155">
        <f>+'I.Input Data'!E21</f>
        <v>2000</v>
      </c>
      <c r="F6" s="5"/>
      <c r="G6" s="5"/>
      <c r="H6" s="5"/>
      <c r="I6" s="5"/>
      <c r="J6" s="5"/>
      <c r="K6" s="5"/>
      <c r="L6" s="5"/>
      <c r="M6" s="5"/>
      <c r="N6" s="5"/>
      <c r="O6" s="5"/>
      <c r="P6" s="5"/>
    </row>
    <row r="7" spans="1:16" x14ac:dyDescent="0.15">
      <c r="A7" s="17"/>
      <c r="B7" s="246" t="str">
        <f>+'I.Input Data'!B22</f>
        <v>Customer Segment 2 (CS2)</v>
      </c>
      <c r="C7" s="97">
        <f>+'I.Input Data'!C22</f>
        <v>10</v>
      </c>
      <c r="D7" s="97">
        <f>+'I.Input Data'!D22</f>
        <v>20</v>
      </c>
      <c r="E7" s="156">
        <f>+'I.Input Data'!E22</f>
        <v>20</v>
      </c>
      <c r="F7" s="5"/>
      <c r="G7" s="5"/>
      <c r="H7" s="5"/>
      <c r="I7" s="5"/>
      <c r="J7" s="5"/>
      <c r="K7" s="5"/>
      <c r="L7" s="5"/>
      <c r="M7" s="5"/>
      <c r="N7" s="5"/>
      <c r="O7" s="5"/>
      <c r="P7" s="5"/>
    </row>
    <row r="8" spans="1:16" x14ac:dyDescent="0.15">
      <c r="A8" s="17"/>
      <c r="B8" s="247" t="str">
        <f>+'I.Input Data'!B23</f>
        <v>Customer Segment 3 (CS3)</v>
      </c>
      <c r="C8" s="157">
        <f>+'I.Input Data'!C23</f>
        <v>20</v>
      </c>
      <c r="D8" s="157">
        <f>+'I.Input Data'!D23</f>
        <v>20</v>
      </c>
      <c r="E8" s="158">
        <f>+'I.Input Data'!E23</f>
        <v>20</v>
      </c>
      <c r="F8" s="5"/>
      <c r="G8" s="5"/>
      <c r="H8" s="5"/>
      <c r="I8" s="5"/>
      <c r="J8" s="5"/>
      <c r="K8" s="5"/>
      <c r="L8" s="5"/>
      <c r="M8" s="5"/>
      <c r="N8" s="5"/>
      <c r="O8" s="5"/>
      <c r="P8" s="5"/>
    </row>
    <row r="9" spans="1:16" x14ac:dyDescent="0.15">
      <c r="A9" s="17"/>
      <c r="B9" s="5"/>
      <c r="C9" s="5"/>
      <c r="D9" s="5"/>
      <c r="E9" s="5"/>
      <c r="F9" s="5"/>
      <c r="G9" s="5"/>
      <c r="H9" s="5"/>
      <c r="I9" s="5"/>
      <c r="J9" s="5"/>
      <c r="K9" s="5"/>
      <c r="L9" s="5"/>
      <c r="M9" s="5"/>
      <c r="N9" s="5"/>
      <c r="O9" s="5"/>
      <c r="P9" s="5"/>
    </row>
    <row r="10" spans="1:16" x14ac:dyDescent="0.15">
      <c r="A10" s="17"/>
      <c r="B10" s="5"/>
      <c r="C10" s="5"/>
      <c r="D10" s="5"/>
      <c r="E10" s="5"/>
      <c r="F10" s="5"/>
      <c r="G10" s="5"/>
      <c r="H10" s="5"/>
      <c r="I10" s="5"/>
      <c r="J10" s="5"/>
      <c r="K10" s="5"/>
      <c r="L10" s="5"/>
      <c r="M10" s="5"/>
      <c r="N10" s="5"/>
      <c r="O10" s="5"/>
      <c r="P10" s="5"/>
    </row>
    <row r="11" spans="1:16" x14ac:dyDescent="0.15">
      <c r="A11" s="17"/>
      <c r="B11" s="456" t="s">
        <v>51</v>
      </c>
      <c r="C11" s="457"/>
      <c r="D11" s="168">
        <f>+'I.Input Data'!F11</f>
        <v>43101</v>
      </c>
      <c r="E11" s="394" t="s">
        <v>65</v>
      </c>
      <c r="F11" s="394"/>
      <c r="G11" s="394"/>
      <c r="H11" s="394"/>
      <c r="I11" s="394"/>
      <c r="J11" s="394"/>
      <c r="K11" s="394"/>
      <c r="L11" s="394"/>
      <c r="M11" s="394"/>
      <c r="N11" s="459"/>
      <c r="O11" s="5"/>
      <c r="P11" s="5"/>
    </row>
    <row r="12" spans="1:16" x14ac:dyDescent="0.15">
      <c r="A12" s="17"/>
      <c r="B12" s="458"/>
      <c r="C12" s="407"/>
      <c r="D12" s="161">
        <v>0</v>
      </c>
      <c r="E12" s="161">
        <v>1</v>
      </c>
      <c r="F12" s="161">
        <v>2</v>
      </c>
      <c r="G12" s="161">
        <v>3</v>
      </c>
      <c r="H12" s="161">
        <v>4</v>
      </c>
      <c r="I12" s="161">
        <v>5</v>
      </c>
      <c r="J12" s="161">
        <v>6</v>
      </c>
      <c r="K12" s="161">
        <v>7</v>
      </c>
      <c r="L12" s="161">
        <v>8</v>
      </c>
      <c r="M12" s="161">
        <v>9</v>
      </c>
      <c r="N12" s="161">
        <v>10</v>
      </c>
    </row>
    <row r="13" spans="1:16" x14ac:dyDescent="0.15">
      <c r="A13" s="17"/>
      <c r="B13" s="460" t="s">
        <v>218</v>
      </c>
      <c r="C13" s="162" t="str">
        <f>+$B$6</f>
        <v>Customer Segment 1 (CS1)</v>
      </c>
      <c r="D13" s="169">
        <f>+'I.Input Data'!M81</f>
        <v>10</v>
      </c>
      <c r="E13" s="170">
        <f>(D13*(1-'I.Input Data'!$D$24)+'I.Input Data'!N81)</f>
        <v>109</v>
      </c>
      <c r="F13" s="170">
        <f>(E13*(1-'I.Input Data'!$D$24)+'I.Input Data'!O81)</f>
        <v>298.10000000000002</v>
      </c>
      <c r="G13" s="170">
        <f>(F13*(1-'I.Input Data'!$D$24)+'I.Input Data'!P81)</f>
        <v>488.29</v>
      </c>
      <c r="H13" s="170">
        <f>(G13*(1-'I.Input Data'!$D$24)+'I.Input Data'!Q81)</f>
        <v>639.46100000000001</v>
      </c>
      <c r="I13" s="170">
        <f>(H13*(1-'I.Input Data'!$D$24)+'I.Input Data'!R81)</f>
        <v>1075.5149000000001</v>
      </c>
      <c r="J13" s="170">
        <f>(I13*(1-'I.Input Data'!$D$24)+'I.Input Data'!S81)</f>
        <v>1567.9634100000003</v>
      </c>
      <c r="K13" s="170">
        <f>(J13*(1-'I.Input Data'!$D$24)+'I.Input Data'!T81)</f>
        <v>2061.1670690000001</v>
      </c>
      <c r="L13" s="170">
        <f>(K13*(1-'I.Input Data'!$D$24)+'I.Input Data'!U81)</f>
        <v>2655.0503620999998</v>
      </c>
      <c r="M13" s="170">
        <f>(L13*(1-'I.Input Data'!$D$24)+'I.Input Data'!V81)</f>
        <v>2839.5453258899997</v>
      </c>
      <c r="N13" s="171">
        <f>(M13*(1-'I.Input Data'!$D$24)+'I.Input Data'!W81)</f>
        <v>3005.5907933009998</v>
      </c>
    </row>
    <row r="14" spans="1:16" x14ac:dyDescent="0.15">
      <c r="A14" s="17"/>
      <c r="B14" s="461"/>
      <c r="C14" s="163" t="str">
        <f>+$B$7</f>
        <v>Customer Segment 2 (CS2)</v>
      </c>
      <c r="D14" s="172">
        <f>+'I.Input Data'!M82</f>
        <v>0</v>
      </c>
      <c r="E14" s="173">
        <f>(D14*(1-'I.Input Data'!$D$24)+'I.Input Data'!N82)</f>
        <v>0</v>
      </c>
      <c r="F14" s="173">
        <f>(E14*(1-'I.Input Data'!$D$24)+'I.Input Data'!O82)</f>
        <v>5</v>
      </c>
      <c r="G14" s="173">
        <f>(F14*(1-'I.Input Data'!$D$24)+'I.Input Data'!P82)</f>
        <v>4.5</v>
      </c>
      <c r="H14" s="173">
        <f>(G14*(1-'I.Input Data'!$D$24)+'I.Input Data'!Q82)</f>
        <v>8.0500000000000007</v>
      </c>
      <c r="I14" s="173">
        <f>(H14*(1-'I.Input Data'!$D$24)+'I.Input Data'!R82)</f>
        <v>11.245000000000001</v>
      </c>
      <c r="J14" s="173">
        <f>(I14*(1-'I.Input Data'!$D$24)+'I.Input Data'!S82)</f>
        <v>14.120500000000002</v>
      </c>
      <c r="K14" s="173">
        <f>(J14*(1-'I.Input Data'!$D$24)+'I.Input Data'!T82)</f>
        <v>16.708449999999999</v>
      </c>
      <c r="L14" s="173">
        <f>(K14*(1-'I.Input Data'!$D$24)+'I.Input Data'!U82)</f>
        <v>19.037604999999999</v>
      </c>
      <c r="M14" s="173">
        <f>(L14*(1-'I.Input Data'!$D$24)+'I.Input Data'!V82)</f>
        <v>21.133844499999999</v>
      </c>
      <c r="N14" s="174">
        <f>(M14*(1-'I.Input Data'!$D$24)+'I.Input Data'!W82)</f>
        <v>23.020460050000001</v>
      </c>
    </row>
    <row r="15" spans="1:16" x14ac:dyDescent="0.15">
      <c r="B15" s="462"/>
      <c r="C15" s="163" t="str">
        <f>+$B$8</f>
        <v>Customer Segment 3 (CS3)</v>
      </c>
      <c r="D15" s="180">
        <f>+'I.Input Data'!M83</f>
        <v>0</v>
      </c>
      <c r="E15" s="173">
        <f>(D15*(1-'I.Input Data'!$D$24)+'I.Input Data'!N83)</f>
        <v>0</v>
      </c>
      <c r="F15" s="181">
        <f>(E15*(1-'I.Input Data'!$D$24)+'I.Input Data'!O83)</f>
        <v>0</v>
      </c>
      <c r="G15" s="181">
        <f>(F15*(1-'I.Input Data'!$D$24)+'I.Input Data'!P83)</f>
        <v>2</v>
      </c>
      <c r="H15" s="181">
        <f>(G15*(1-'I.Input Data'!$D$24)+'I.Input Data'!Q83)</f>
        <v>1.8</v>
      </c>
      <c r="I15" s="181">
        <f>(H15*(1-'I.Input Data'!$D$24)+'I.Input Data'!R83)</f>
        <v>1.62</v>
      </c>
      <c r="J15" s="181">
        <f>(I15*(1-'I.Input Data'!$D$24)+'I.Input Data'!S83)</f>
        <v>1.4580000000000002</v>
      </c>
      <c r="K15" s="181">
        <f>(J15*(1-'I.Input Data'!$D$24)+'I.Input Data'!T83)</f>
        <v>1.3122000000000003</v>
      </c>
      <c r="L15" s="181">
        <f>(K15*(1-'I.Input Data'!$D$24)+'I.Input Data'!U83)</f>
        <v>1.1809800000000004</v>
      </c>
      <c r="M15" s="181">
        <f>(L15*(1-'I.Input Data'!$D$24)+'I.Input Data'!V83)</f>
        <v>1.0628820000000003</v>
      </c>
      <c r="N15" s="182">
        <f>(M15*(1-'I.Input Data'!$D$24)+'I.Input Data'!W83)</f>
        <v>0.95659380000000027</v>
      </c>
    </row>
    <row r="16" spans="1:16" x14ac:dyDescent="0.15">
      <c r="B16" s="460" t="s">
        <v>72</v>
      </c>
      <c r="C16" s="162" t="str">
        <f>+$B$6</f>
        <v>Customer Segment 1 (CS1)</v>
      </c>
      <c r="D16" s="169">
        <f>'I.Input Data'!M81*$C$6</f>
        <v>1200</v>
      </c>
      <c r="E16" s="170">
        <f>'I.Input Data'!N81*$C$6</f>
        <v>12000</v>
      </c>
      <c r="F16" s="170">
        <f>'I.Input Data'!O81*$C$6</f>
        <v>24000</v>
      </c>
      <c r="G16" s="170">
        <f>'I.Input Data'!P81*$C$6</f>
        <v>26400</v>
      </c>
      <c r="H16" s="170">
        <f>'I.Input Data'!Q81*$C$6</f>
        <v>24000</v>
      </c>
      <c r="I16" s="170">
        <f>'I.Input Data'!R81*$C$6</f>
        <v>60000</v>
      </c>
      <c r="J16" s="170">
        <f>'I.Input Data'!S81*$C$6</f>
        <v>72000</v>
      </c>
      <c r="K16" s="170">
        <f>'I.Input Data'!T81*$C$6</f>
        <v>78000</v>
      </c>
      <c r="L16" s="170">
        <f>'I.Input Data'!U81*$C$6</f>
        <v>96000</v>
      </c>
      <c r="M16" s="170">
        <f>'I.Input Data'!V81*$C$6</f>
        <v>54000</v>
      </c>
      <c r="N16" s="171">
        <f>'I.Input Data'!W81*$C$6</f>
        <v>54000</v>
      </c>
    </row>
    <row r="17" spans="2:14" x14ac:dyDescent="0.15">
      <c r="B17" s="461"/>
      <c r="C17" s="163" t="str">
        <f>+$B$7</f>
        <v>Customer Segment 2 (CS2)</v>
      </c>
      <c r="D17" s="172">
        <f>'I.Input Data'!M82*$C$7</f>
        <v>0</v>
      </c>
      <c r="E17" s="173">
        <f>'I.Input Data'!N82*$C$7</f>
        <v>0</v>
      </c>
      <c r="F17" s="173">
        <f>'I.Input Data'!O82*$C$7</f>
        <v>50</v>
      </c>
      <c r="G17" s="173">
        <f>'I.Input Data'!P82*$C$7</f>
        <v>0</v>
      </c>
      <c r="H17" s="173">
        <f>'I.Input Data'!Q82*$C$7</f>
        <v>40</v>
      </c>
      <c r="I17" s="173">
        <f>'I.Input Data'!R82*$C$7</f>
        <v>40</v>
      </c>
      <c r="J17" s="173">
        <f>'I.Input Data'!S82*$C$7</f>
        <v>40</v>
      </c>
      <c r="K17" s="173">
        <f>'I.Input Data'!T82*$C$7</f>
        <v>40</v>
      </c>
      <c r="L17" s="173">
        <f>'I.Input Data'!U82*$C$7</f>
        <v>40</v>
      </c>
      <c r="M17" s="173">
        <f>'I.Input Data'!V82*$C$7</f>
        <v>40</v>
      </c>
      <c r="N17" s="174">
        <f>'I.Input Data'!W82*$C$7</f>
        <v>40</v>
      </c>
    </row>
    <row r="18" spans="2:14" x14ac:dyDescent="0.15">
      <c r="B18" s="461"/>
      <c r="C18" s="163" t="str">
        <f>+$B$8</f>
        <v>Customer Segment 3 (CS3)</v>
      </c>
      <c r="D18" s="172">
        <f>'I.Input Data'!M83*$C$8</f>
        <v>0</v>
      </c>
      <c r="E18" s="173">
        <f>'I.Input Data'!N83*$C$8</f>
        <v>0</v>
      </c>
      <c r="F18" s="173">
        <f>'I.Input Data'!O83*$C$8</f>
        <v>0</v>
      </c>
      <c r="G18" s="173">
        <f>'I.Input Data'!P83*$C$8</f>
        <v>40</v>
      </c>
      <c r="H18" s="173">
        <f>'I.Input Data'!Q83*$C$8</f>
        <v>0</v>
      </c>
      <c r="I18" s="173">
        <f>'I.Input Data'!R83*$C$8</f>
        <v>0</v>
      </c>
      <c r="J18" s="173">
        <f>'I.Input Data'!S83*$C$8</f>
        <v>0</v>
      </c>
      <c r="K18" s="173">
        <f>'I.Input Data'!T83*$C$8</f>
        <v>0</v>
      </c>
      <c r="L18" s="173">
        <f>'I.Input Data'!U83*$C$8</f>
        <v>0</v>
      </c>
      <c r="M18" s="173">
        <f>'I.Input Data'!V83*$C$8</f>
        <v>0</v>
      </c>
      <c r="N18" s="174">
        <f>'I.Input Data'!W83*$C$8</f>
        <v>0</v>
      </c>
    </row>
    <row r="19" spans="2:14" x14ac:dyDescent="0.15">
      <c r="B19" s="462"/>
      <c r="C19" s="163" t="s">
        <v>10</v>
      </c>
      <c r="D19" s="172">
        <f>+SUM(D16:D18)</f>
        <v>1200</v>
      </c>
      <c r="E19" s="173">
        <f t="shared" ref="E19:H19" si="0">+SUM(E16:E18)</f>
        <v>12000</v>
      </c>
      <c r="F19" s="173">
        <f t="shared" si="0"/>
        <v>24050</v>
      </c>
      <c r="G19" s="173">
        <f t="shared" si="0"/>
        <v>26440</v>
      </c>
      <c r="H19" s="173">
        <f t="shared" si="0"/>
        <v>24040</v>
      </c>
      <c r="I19" s="173">
        <f t="shared" ref="I19:N19" si="1">+SUM(I16:I18)</f>
        <v>60040</v>
      </c>
      <c r="J19" s="173">
        <f t="shared" si="1"/>
        <v>72040</v>
      </c>
      <c r="K19" s="173">
        <f t="shared" si="1"/>
        <v>78040</v>
      </c>
      <c r="L19" s="173">
        <f t="shared" si="1"/>
        <v>96040</v>
      </c>
      <c r="M19" s="173">
        <f t="shared" si="1"/>
        <v>54040</v>
      </c>
      <c r="N19" s="174">
        <f t="shared" si="1"/>
        <v>54040</v>
      </c>
    </row>
    <row r="20" spans="2:14" ht="12.75" customHeight="1" x14ac:dyDescent="0.15">
      <c r="B20" s="460" t="s">
        <v>73</v>
      </c>
      <c r="C20" s="374" t="str">
        <f>+$B$6</f>
        <v>Customer Segment 1 (CS1)</v>
      </c>
      <c r="D20" s="169">
        <f>+'I.Input Data'!M81*$D$6</f>
        <v>1500</v>
      </c>
      <c r="E20" s="170">
        <f>+'I.Input Data'!N81*$D$6</f>
        <v>15000</v>
      </c>
      <c r="F20" s="170">
        <f>+'I.Input Data'!O81*$D$6</f>
        <v>30000</v>
      </c>
      <c r="G20" s="170">
        <f>+'I.Input Data'!P81*$D$6</f>
        <v>33000</v>
      </c>
      <c r="H20" s="170">
        <f>+'I.Input Data'!Q81*$D$6</f>
        <v>30000</v>
      </c>
      <c r="I20" s="170">
        <f>+'I.Input Data'!R81*$D$6</f>
        <v>75000</v>
      </c>
      <c r="J20" s="170">
        <f>+'I.Input Data'!S81*$D$6</f>
        <v>90000</v>
      </c>
      <c r="K20" s="170">
        <f>+'I.Input Data'!T81*$D$6</f>
        <v>97500</v>
      </c>
      <c r="L20" s="170">
        <f>+'I.Input Data'!U81*$D$6</f>
        <v>120000</v>
      </c>
      <c r="M20" s="170">
        <f>+'I.Input Data'!V81*$D$6</f>
        <v>67500</v>
      </c>
      <c r="N20" s="171">
        <f>+'I.Input Data'!W81*$D$6</f>
        <v>67500</v>
      </c>
    </row>
    <row r="21" spans="2:14" x14ac:dyDescent="0.15">
      <c r="B21" s="461"/>
      <c r="C21" s="375" t="str">
        <f>+$B$7</f>
        <v>Customer Segment 2 (CS2)</v>
      </c>
      <c r="D21" s="172">
        <f>+'I.Input Data'!M82*$D$7</f>
        <v>0</v>
      </c>
      <c r="E21" s="173">
        <f>+'I.Input Data'!N82*$D$7</f>
        <v>0</v>
      </c>
      <c r="F21" s="173">
        <f>+'I.Input Data'!O82*$D$7</f>
        <v>100</v>
      </c>
      <c r="G21" s="173">
        <f>+'I.Input Data'!P82*$D$7</f>
        <v>0</v>
      </c>
      <c r="H21" s="173">
        <f>+'I.Input Data'!Q82*$D$7</f>
        <v>80</v>
      </c>
      <c r="I21" s="173">
        <f>+'I.Input Data'!R82*$D$7</f>
        <v>80</v>
      </c>
      <c r="J21" s="173">
        <f>+'I.Input Data'!S82*$D$7</f>
        <v>80</v>
      </c>
      <c r="K21" s="173">
        <f>+'I.Input Data'!T82*$D$7</f>
        <v>80</v>
      </c>
      <c r="L21" s="173">
        <f>+'I.Input Data'!U82*$D$7</f>
        <v>80</v>
      </c>
      <c r="M21" s="173">
        <f>+'I.Input Data'!V82*$D$7</f>
        <v>80</v>
      </c>
      <c r="N21" s="174">
        <f>+'I.Input Data'!W82*$D$7</f>
        <v>80</v>
      </c>
    </row>
    <row r="22" spans="2:14" x14ac:dyDescent="0.15">
      <c r="B22" s="461"/>
      <c r="C22" s="375" t="str">
        <f>+$B$8</f>
        <v>Customer Segment 3 (CS3)</v>
      </c>
      <c r="D22" s="172">
        <f>+'I.Input Data'!M83*$D$8</f>
        <v>0</v>
      </c>
      <c r="E22" s="173">
        <f>+'I.Input Data'!N83*$D$8</f>
        <v>0</v>
      </c>
      <c r="F22" s="173">
        <f>+'I.Input Data'!O83*$D$8</f>
        <v>0</v>
      </c>
      <c r="G22" s="173">
        <f>+'I.Input Data'!P83*$D$8</f>
        <v>40</v>
      </c>
      <c r="H22" s="173">
        <f>+'I.Input Data'!Q83*$D$8</f>
        <v>0</v>
      </c>
      <c r="I22" s="173">
        <f>+'I.Input Data'!R83*$D$8</f>
        <v>0</v>
      </c>
      <c r="J22" s="173">
        <f>+'I.Input Data'!S83*$D$8</f>
        <v>0</v>
      </c>
      <c r="K22" s="173">
        <f>+'I.Input Data'!T83*$D$8</f>
        <v>0</v>
      </c>
      <c r="L22" s="173">
        <f>+'I.Input Data'!U83*$D$8</f>
        <v>0</v>
      </c>
      <c r="M22" s="173">
        <f>+'I.Input Data'!V83*$D$8</f>
        <v>0</v>
      </c>
      <c r="N22" s="174">
        <f>+'I.Input Data'!W83*$D$8</f>
        <v>0</v>
      </c>
    </row>
    <row r="23" spans="2:14" x14ac:dyDescent="0.15">
      <c r="B23" s="461"/>
      <c r="C23" s="375" t="s">
        <v>10</v>
      </c>
      <c r="D23" s="180">
        <f>+SUM(D20:D22)</f>
        <v>1500</v>
      </c>
      <c r="E23" s="181">
        <f t="shared" ref="E23:N23" si="2">+SUM(E20:E22)</f>
        <v>15000</v>
      </c>
      <c r="F23" s="181">
        <f t="shared" si="2"/>
        <v>30100</v>
      </c>
      <c r="G23" s="181">
        <f t="shared" si="2"/>
        <v>33040</v>
      </c>
      <c r="H23" s="181">
        <f t="shared" si="2"/>
        <v>30080</v>
      </c>
      <c r="I23" s="181">
        <f t="shared" si="2"/>
        <v>75080</v>
      </c>
      <c r="J23" s="181">
        <f t="shared" si="2"/>
        <v>90080</v>
      </c>
      <c r="K23" s="181">
        <f t="shared" si="2"/>
        <v>97580</v>
      </c>
      <c r="L23" s="181">
        <f t="shared" si="2"/>
        <v>120080</v>
      </c>
      <c r="M23" s="181">
        <f t="shared" si="2"/>
        <v>67580</v>
      </c>
      <c r="N23" s="182">
        <f t="shared" si="2"/>
        <v>67580</v>
      </c>
    </row>
    <row r="24" spans="2:14" ht="12.75" customHeight="1" x14ac:dyDescent="0.15">
      <c r="B24" s="463" t="s">
        <v>74</v>
      </c>
      <c r="C24" s="162" t="str">
        <f>+$B$6</f>
        <v>Customer Segment 1 (CS1)</v>
      </c>
      <c r="D24" s="172">
        <f>+D13*$E$6</f>
        <v>20000</v>
      </c>
      <c r="E24" s="173">
        <f>+E13*$E$6</f>
        <v>218000</v>
      </c>
      <c r="F24" s="173">
        <f>+F13*$E$6</f>
        <v>596200</v>
      </c>
      <c r="G24" s="173">
        <f t="shared" ref="G24:N24" si="3">+G13*$E$6</f>
        <v>976580</v>
      </c>
      <c r="H24" s="173">
        <f t="shared" si="3"/>
        <v>1278922</v>
      </c>
      <c r="I24" s="173">
        <f t="shared" si="3"/>
        <v>2151029.8000000003</v>
      </c>
      <c r="J24" s="173">
        <f t="shared" si="3"/>
        <v>3135926.8200000008</v>
      </c>
      <c r="K24" s="173">
        <f t="shared" si="3"/>
        <v>4122334.1380000003</v>
      </c>
      <c r="L24" s="173">
        <f t="shared" si="3"/>
        <v>5310100.7242000001</v>
      </c>
      <c r="M24" s="173">
        <f>+M13*$E$6</f>
        <v>5679090.651779999</v>
      </c>
      <c r="N24" s="174">
        <f t="shared" si="3"/>
        <v>6011181.5866019996</v>
      </c>
    </row>
    <row r="25" spans="2:14" x14ac:dyDescent="0.15">
      <c r="B25" s="464"/>
      <c r="C25" s="163" t="str">
        <f>+$B$7</f>
        <v>Customer Segment 2 (CS2)</v>
      </c>
      <c r="D25" s="172">
        <f>+D14*$E$7</f>
        <v>0</v>
      </c>
      <c r="E25" s="173">
        <f>+E14*$E$7</f>
        <v>0</v>
      </c>
      <c r="F25" s="173">
        <f>+F14*$E$7</f>
        <v>100</v>
      </c>
      <c r="G25" s="173">
        <f t="shared" ref="G25:N25" si="4">+G14*$E$7</f>
        <v>90</v>
      </c>
      <c r="H25" s="173">
        <f>+H14*$E$7</f>
        <v>161</v>
      </c>
      <c r="I25" s="173">
        <f>+I14*$E$7</f>
        <v>224.90000000000003</v>
      </c>
      <c r="J25" s="173">
        <f t="shared" si="4"/>
        <v>282.41000000000003</v>
      </c>
      <c r="K25" s="173">
        <f t="shared" si="4"/>
        <v>334.16899999999998</v>
      </c>
      <c r="L25" s="173">
        <f t="shared" si="4"/>
        <v>380.75209999999998</v>
      </c>
      <c r="M25" s="173">
        <f t="shared" si="4"/>
        <v>422.67688999999996</v>
      </c>
      <c r="N25" s="174">
        <f t="shared" si="4"/>
        <v>460.409201</v>
      </c>
    </row>
    <row r="26" spans="2:14" x14ac:dyDescent="0.15">
      <c r="B26" s="464"/>
      <c r="C26" s="163" t="str">
        <f>+$B$8</f>
        <v>Customer Segment 3 (CS3)</v>
      </c>
      <c r="D26" s="172">
        <f>+D15*$E$8</f>
        <v>0</v>
      </c>
      <c r="E26" s="173">
        <f t="shared" ref="E26:N26" si="5">+E15*$E$8</f>
        <v>0</v>
      </c>
      <c r="F26" s="173">
        <f t="shared" si="5"/>
        <v>0</v>
      </c>
      <c r="G26" s="173">
        <f t="shared" si="5"/>
        <v>40</v>
      </c>
      <c r="H26" s="173">
        <f t="shared" si="5"/>
        <v>36</v>
      </c>
      <c r="I26" s="173">
        <f t="shared" si="5"/>
        <v>32.400000000000006</v>
      </c>
      <c r="J26" s="173">
        <f t="shared" si="5"/>
        <v>29.160000000000004</v>
      </c>
      <c r="K26" s="173">
        <f t="shared" si="5"/>
        <v>26.244000000000007</v>
      </c>
      <c r="L26" s="173">
        <f t="shared" si="5"/>
        <v>23.619600000000005</v>
      </c>
      <c r="M26" s="173">
        <f t="shared" si="5"/>
        <v>21.257640000000006</v>
      </c>
      <c r="N26" s="174">
        <f t="shared" si="5"/>
        <v>19.131876000000005</v>
      </c>
    </row>
    <row r="27" spans="2:14" x14ac:dyDescent="0.15">
      <c r="B27" s="465"/>
      <c r="C27" s="164" t="s">
        <v>10</v>
      </c>
      <c r="D27" s="180">
        <f>+SUM(D24:D26)</f>
        <v>20000</v>
      </c>
      <c r="E27" s="181">
        <f t="shared" ref="E27:N27" si="6">+SUM(E24:E26)</f>
        <v>218000</v>
      </c>
      <c r="F27" s="181">
        <f t="shared" si="6"/>
        <v>596300</v>
      </c>
      <c r="G27" s="181">
        <f t="shared" si="6"/>
        <v>976710</v>
      </c>
      <c r="H27" s="181">
        <f t="shared" si="6"/>
        <v>1279119</v>
      </c>
      <c r="I27" s="181">
        <f t="shared" si="6"/>
        <v>2151287.1</v>
      </c>
      <c r="J27" s="181">
        <f t="shared" si="6"/>
        <v>3136238.3900000011</v>
      </c>
      <c r="K27" s="181">
        <f t="shared" si="6"/>
        <v>4122694.5510000004</v>
      </c>
      <c r="L27" s="181">
        <f t="shared" si="6"/>
        <v>5310505.0959000001</v>
      </c>
      <c r="M27" s="181">
        <f t="shared" si="6"/>
        <v>5679534.5863099992</v>
      </c>
      <c r="N27" s="182">
        <f t="shared" si="6"/>
        <v>6011661.1276789997</v>
      </c>
    </row>
    <row r="28" spans="2:14" x14ac:dyDescent="0.15">
      <c r="B28" s="461" t="s">
        <v>117</v>
      </c>
      <c r="C28" s="163" t="str">
        <f>+$B$6</f>
        <v>Customer Segment 1 (CS1)</v>
      </c>
      <c r="D28" s="170">
        <f t="shared" ref="D28:H28" si="7">+D16+D20+D24</f>
        <v>22700</v>
      </c>
      <c r="E28" s="170">
        <f t="shared" si="7"/>
        <v>245000</v>
      </c>
      <c r="F28" s="170">
        <f t="shared" si="7"/>
        <v>650200</v>
      </c>
      <c r="G28" s="170">
        <f t="shared" si="7"/>
        <v>1035980</v>
      </c>
      <c r="H28" s="170">
        <f t="shared" si="7"/>
        <v>1332922</v>
      </c>
      <c r="I28" s="170">
        <f t="shared" ref="I28:N28" si="8">+I16+I20+I24</f>
        <v>2286029.8000000003</v>
      </c>
      <c r="J28" s="170">
        <f t="shared" si="8"/>
        <v>3297926.8200000008</v>
      </c>
      <c r="K28" s="170">
        <f t="shared" si="8"/>
        <v>4297834.1380000003</v>
      </c>
      <c r="L28" s="170">
        <f t="shared" si="8"/>
        <v>5526100.7242000001</v>
      </c>
      <c r="M28" s="170">
        <f t="shared" si="8"/>
        <v>5800590.651779999</v>
      </c>
      <c r="N28" s="171">
        <f t="shared" si="8"/>
        <v>6132681.5866019996</v>
      </c>
    </row>
    <row r="29" spans="2:14" x14ac:dyDescent="0.15">
      <c r="B29" s="461"/>
      <c r="C29" s="163" t="str">
        <f>+$B$7</f>
        <v>Customer Segment 2 (CS2)</v>
      </c>
      <c r="D29" s="173">
        <f t="shared" ref="D29:H29" si="9">+D17+D21+D25</f>
        <v>0</v>
      </c>
      <c r="E29" s="173">
        <f t="shared" si="9"/>
        <v>0</v>
      </c>
      <c r="F29" s="173">
        <f t="shared" si="9"/>
        <v>250</v>
      </c>
      <c r="G29" s="173">
        <f t="shared" si="9"/>
        <v>90</v>
      </c>
      <c r="H29" s="173">
        <f t="shared" si="9"/>
        <v>281</v>
      </c>
      <c r="I29" s="173">
        <f t="shared" ref="I29:N29" si="10">+I17+I21+I25</f>
        <v>344.90000000000003</v>
      </c>
      <c r="J29" s="173">
        <f t="shared" si="10"/>
        <v>402.41</v>
      </c>
      <c r="K29" s="173">
        <f t="shared" si="10"/>
        <v>454.16899999999998</v>
      </c>
      <c r="L29" s="173">
        <f t="shared" si="10"/>
        <v>500.75209999999998</v>
      </c>
      <c r="M29" s="173">
        <f t="shared" si="10"/>
        <v>542.67688999999996</v>
      </c>
      <c r="N29" s="174">
        <f t="shared" si="10"/>
        <v>580.40920099999994</v>
      </c>
    </row>
    <row r="30" spans="2:14" x14ac:dyDescent="0.15">
      <c r="B30" s="462"/>
      <c r="C30" s="164" t="str">
        <f>+$B$8</f>
        <v>Customer Segment 3 (CS3)</v>
      </c>
      <c r="D30" s="173">
        <f t="shared" ref="D30:H30" si="11">+D18+D22+D26</f>
        <v>0</v>
      </c>
      <c r="E30" s="173">
        <f t="shared" si="11"/>
        <v>0</v>
      </c>
      <c r="F30" s="173">
        <f t="shared" si="11"/>
        <v>0</v>
      </c>
      <c r="G30" s="173">
        <f t="shared" si="11"/>
        <v>120</v>
      </c>
      <c r="H30" s="173">
        <f t="shared" si="11"/>
        <v>36</v>
      </c>
      <c r="I30" s="173">
        <f t="shared" ref="I30:N30" si="12">+I18+I22+I26</f>
        <v>32.400000000000006</v>
      </c>
      <c r="J30" s="173">
        <f t="shared" si="12"/>
        <v>29.160000000000004</v>
      </c>
      <c r="K30" s="173">
        <f t="shared" si="12"/>
        <v>26.244000000000007</v>
      </c>
      <c r="L30" s="173">
        <f t="shared" si="12"/>
        <v>23.619600000000005</v>
      </c>
      <c r="M30" s="173">
        <f t="shared" si="12"/>
        <v>21.257640000000006</v>
      </c>
      <c r="N30" s="174">
        <f t="shared" si="12"/>
        <v>19.131876000000005</v>
      </c>
    </row>
    <row r="31" spans="2:14" x14ac:dyDescent="0.15">
      <c r="C31" s="138" t="s">
        <v>118</v>
      </c>
      <c r="D31" s="175">
        <f>+D19+D23+D27</f>
        <v>22700</v>
      </c>
      <c r="E31" s="175">
        <f t="shared" ref="E31:H31" si="13">+E19+E23+E27</f>
        <v>245000</v>
      </c>
      <c r="F31" s="175">
        <f>+F19+F23+F27</f>
        <v>650450</v>
      </c>
      <c r="G31" s="175">
        <f t="shared" si="13"/>
        <v>1036190</v>
      </c>
      <c r="H31" s="175">
        <f t="shared" si="13"/>
        <v>1333239</v>
      </c>
      <c r="I31" s="175">
        <f t="shared" ref="I31:N31" si="14">+I19+I23+I27</f>
        <v>2286407.1</v>
      </c>
      <c r="J31" s="175">
        <f t="shared" si="14"/>
        <v>3298358.3900000011</v>
      </c>
      <c r="K31" s="175">
        <f t="shared" si="14"/>
        <v>4298314.5510000009</v>
      </c>
      <c r="L31" s="175">
        <f t="shared" si="14"/>
        <v>5526625.0959000001</v>
      </c>
      <c r="M31" s="175">
        <f t="shared" si="14"/>
        <v>5801154.5863099992</v>
      </c>
      <c r="N31" s="176">
        <f t="shared" si="14"/>
        <v>6133281.1276789997</v>
      </c>
    </row>
    <row r="35" spans="5:5" x14ac:dyDescent="0.15">
      <c r="E35" s="298"/>
    </row>
  </sheetData>
  <mergeCells count="11">
    <mergeCell ref="B13:B15"/>
    <mergeCell ref="B28:B30"/>
    <mergeCell ref="B16:B19"/>
    <mergeCell ref="B20:B23"/>
    <mergeCell ref="B24:B27"/>
    <mergeCell ref="B4:B5"/>
    <mergeCell ref="C4:C5"/>
    <mergeCell ref="D4:D5"/>
    <mergeCell ref="E4:E5"/>
    <mergeCell ref="B11:C12"/>
    <mergeCell ref="E11:N11"/>
  </mergeCells>
  <pageMargins left="0.75" right="0.75" top="1" bottom="1" header="0.5" footer="0.5"/>
  <pageSetup scale="99" orientation="portrait" horizontalDpi="4294967292" verticalDpi="4294967292"/>
  <headerFooter alignWithMargins="0">
    <oddHeader>&amp;L&amp;"Arial,Italic"&amp;8Financial Model Workbook&amp;C&amp;"Arial,Italic"&amp;8Three-Year Model&amp;R&amp;"Arial,Italic"&amp;8Rev-- Subscription Model</oddHeader>
    <oddFooter>&amp;L&amp;"Arial,Italic"&amp;8Version of June 27 2012&amp;C&amp;"Arial,Italic"&amp;8Copyright (c) 2011, 2012 wendykennedy.com inc.&amp;R&amp;"Arial,Italic"&amp;8Page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156" id="{362C61CF-E496-4ADD-8528-848665AAB1DF}">
            <xm:f>$N$12&gt;'I.Input Data'!$J$11</xm:f>
            <x14:dxf>
              <fill>
                <patternFill>
                  <bgColor theme="0" tint="-0.14996795556505021"/>
                </patternFill>
              </fill>
            </x14:dxf>
          </x14:cfRule>
          <xm:sqref>N12 N23 N27:N31 N14:N15 N17:N19</xm:sqref>
        </x14:conditionalFormatting>
        <x14:conditionalFormatting xmlns:xm="http://schemas.microsoft.com/office/excel/2006/main">
          <x14:cfRule type="expression" priority="158" id="{FEAC252E-351D-49B8-B3ED-804C29A175A3}">
            <xm:f>D$12&gt;'I.Input Data'!$J$11</xm:f>
            <x14:dxf>
              <fill>
                <patternFill>
                  <bgColor theme="0" tint="-0.14996795556505021"/>
                </patternFill>
              </fill>
            </x14:dxf>
          </x14:cfRule>
          <x14:cfRule type="expression" priority="159" id="{79DF7ED1-710B-4AD6-84C0-2B18E3D943E1}">
            <xm:f>D$12&gt;'I.Input Data'!$J$11-'I.Input Data'!$H$7-1</xm:f>
            <x14:dxf>
              <fill>
                <patternFill>
                  <bgColor theme="0" tint="-0.14996795556505021"/>
                </patternFill>
              </fill>
            </x14:dxf>
          </x14:cfRule>
          <xm:sqref>D23:M23 D27:M31 D24:N26 D12:M12 D13:N13 D14:M15 D17:M19 D16:N16 D20:N22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6" tint="0.59999389629810485"/>
  </sheetPr>
  <dimension ref="A1:Y32"/>
  <sheetViews>
    <sheetView workbookViewId="0">
      <selection activeCell="N20" sqref="N20"/>
    </sheetView>
  </sheetViews>
  <sheetFormatPr baseColWidth="10" defaultColWidth="8.83203125" defaultRowHeight="13" x14ac:dyDescent="0.15"/>
  <cols>
    <col min="1" max="1" width="5.1640625" style="4" customWidth="1"/>
    <col min="2" max="2" width="33.1640625" style="4" customWidth="1"/>
    <col min="3" max="3" width="26.83203125" style="4" customWidth="1"/>
    <col min="4" max="24" width="11.6640625" style="4" customWidth="1"/>
    <col min="25" max="16384" width="8.83203125" style="4"/>
  </cols>
  <sheetData>
    <row r="1" spans="1:24" ht="14" x14ac:dyDescent="0.15">
      <c r="A1" s="5"/>
      <c r="B1" s="5"/>
      <c r="C1" s="44"/>
      <c r="D1" s="44"/>
      <c r="E1" s="45"/>
      <c r="F1" s="42"/>
      <c r="G1" s="42"/>
      <c r="H1" s="42"/>
      <c r="I1" s="42"/>
      <c r="J1" s="42"/>
      <c r="K1" s="42"/>
      <c r="L1" s="5"/>
      <c r="M1" s="5"/>
      <c r="N1" s="5"/>
      <c r="O1" s="5"/>
      <c r="P1" s="5"/>
      <c r="Q1" s="5"/>
      <c r="R1" s="5"/>
    </row>
    <row r="2" spans="1:24" ht="18" x14ac:dyDescent="0.2">
      <c r="A2" s="5"/>
      <c r="B2" s="43" t="s">
        <v>185</v>
      </c>
      <c r="C2" s="21"/>
      <c r="D2" s="34"/>
      <c r="E2" s="34"/>
      <c r="F2" s="34"/>
      <c r="G2" s="5"/>
      <c r="H2" s="5"/>
      <c r="I2" s="5"/>
      <c r="J2" s="5"/>
      <c r="K2" s="5"/>
      <c r="L2" s="5"/>
      <c r="M2" s="5"/>
      <c r="N2" s="5"/>
      <c r="O2" s="5"/>
      <c r="P2" s="5"/>
      <c r="Q2" s="5"/>
      <c r="R2" s="5"/>
    </row>
    <row r="3" spans="1:24" x14ac:dyDescent="0.15">
      <c r="A3" s="5"/>
      <c r="B3" s="5"/>
      <c r="C3" s="5"/>
      <c r="D3" s="34"/>
      <c r="E3" s="34"/>
      <c r="F3" s="34"/>
      <c r="G3" s="5"/>
      <c r="H3" s="5"/>
      <c r="I3" s="5"/>
      <c r="J3" s="5"/>
      <c r="K3" s="5"/>
      <c r="L3" s="5"/>
      <c r="M3" s="5"/>
      <c r="N3" s="5"/>
      <c r="O3" s="5"/>
    </row>
    <row r="5" spans="1:24" x14ac:dyDescent="0.15">
      <c r="D5" s="408" t="s">
        <v>105</v>
      </c>
      <c r="E5" s="408"/>
      <c r="F5" s="408"/>
      <c r="G5" s="408"/>
      <c r="H5" s="408"/>
      <c r="I5" s="408"/>
      <c r="J5" s="408"/>
      <c r="K5" s="408"/>
      <c r="L5" s="408"/>
      <c r="M5" s="408"/>
      <c r="N5" s="141">
        <f>+'I.Input Data'!F11</f>
        <v>43101</v>
      </c>
      <c r="O5" s="394" t="s">
        <v>65</v>
      </c>
      <c r="P5" s="395"/>
      <c r="Q5" s="395"/>
      <c r="R5" s="395"/>
      <c r="S5" s="395"/>
      <c r="T5" s="395"/>
      <c r="U5" s="395"/>
      <c r="V5" s="395"/>
      <c r="W5" s="395"/>
      <c r="X5" s="466"/>
    </row>
    <row r="6" spans="1:24" x14ac:dyDescent="0.15">
      <c r="D6" s="137">
        <v>-10</v>
      </c>
      <c r="E6" s="137">
        <v>-9</v>
      </c>
      <c r="F6" s="137">
        <v>-8</v>
      </c>
      <c r="G6" s="137">
        <v>-7</v>
      </c>
      <c r="H6" s="137">
        <v>-6</v>
      </c>
      <c r="I6" s="137">
        <v>-5</v>
      </c>
      <c r="J6" s="137">
        <v>-4</v>
      </c>
      <c r="K6" s="137">
        <v>-3</v>
      </c>
      <c r="L6" s="137">
        <v>-2</v>
      </c>
      <c r="M6" s="137">
        <v>-1</v>
      </c>
      <c r="N6" s="137">
        <v>0</v>
      </c>
      <c r="O6" s="137">
        <v>1</v>
      </c>
      <c r="P6" s="137">
        <v>2</v>
      </c>
      <c r="Q6" s="137">
        <v>3</v>
      </c>
      <c r="R6" s="137">
        <v>4</v>
      </c>
      <c r="S6" s="137">
        <v>5</v>
      </c>
      <c r="T6" s="137">
        <v>6</v>
      </c>
      <c r="U6" s="137">
        <v>7</v>
      </c>
      <c r="V6" s="137">
        <v>8</v>
      </c>
      <c r="W6" s="137">
        <v>9</v>
      </c>
      <c r="X6" s="137">
        <v>10</v>
      </c>
    </row>
    <row r="7" spans="1:24" x14ac:dyDescent="0.15">
      <c r="B7" s="467" t="s">
        <v>119</v>
      </c>
      <c r="C7" s="165" t="s">
        <v>90</v>
      </c>
      <c r="D7" s="169">
        <f>+'I.Input Data'!C31*1000</f>
        <v>0</v>
      </c>
      <c r="E7" s="170">
        <f>+'I.Input Data'!D31*1000</f>
        <v>0</v>
      </c>
      <c r="F7" s="170">
        <f>+'I.Input Data'!E31*1000</f>
        <v>0</v>
      </c>
      <c r="G7" s="170">
        <f>+'I.Input Data'!F31*1000</f>
        <v>0</v>
      </c>
      <c r="H7" s="170">
        <f>+'I.Input Data'!G31*1000</f>
        <v>0</v>
      </c>
      <c r="I7" s="170">
        <f>+'I.Input Data'!H31*1000</f>
        <v>0</v>
      </c>
      <c r="J7" s="170">
        <f>+'I.Input Data'!I31*1000</f>
        <v>0</v>
      </c>
      <c r="K7" s="170">
        <f>+'I.Input Data'!J31*1000</f>
        <v>0</v>
      </c>
      <c r="L7" s="170">
        <f>+'I.Input Data'!K31*1000</f>
        <v>500000</v>
      </c>
      <c r="M7" s="170">
        <f>+'I.Input Data'!L31*1000</f>
        <v>0</v>
      </c>
      <c r="N7" s="202">
        <f>+'I.Input Data'!M31*1000</f>
        <v>0</v>
      </c>
      <c r="O7" s="202">
        <f>+'I.Input Data'!N31*1000</f>
        <v>0</v>
      </c>
      <c r="P7" s="202">
        <f>+'I.Input Data'!O31*1000</f>
        <v>0</v>
      </c>
      <c r="Q7" s="202">
        <f>+'I.Input Data'!P31*1000</f>
        <v>0</v>
      </c>
      <c r="R7" s="202">
        <f>+'I.Input Data'!Q31*1000</f>
        <v>0</v>
      </c>
      <c r="S7" s="202">
        <f>+'I.Input Data'!R31*1000</f>
        <v>0</v>
      </c>
      <c r="T7" s="202">
        <f>+'I.Input Data'!S31*1000</f>
        <v>0</v>
      </c>
      <c r="U7" s="202">
        <f>+'I.Input Data'!T31*1000</f>
        <v>0</v>
      </c>
      <c r="V7" s="202">
        <f>+'I.Input Data'!U31*1000</f>
        <v>0</v>
      </c>
      <c r="W7" s="202">
        <f>+'I.Input Data'!V31*1000</f>
        <v>0</v>
      </c>
      <c r="X7" s="203">
        <f>+'I.Input Data'!W31*1000</f>
        <v>0</v>
      </c>
    </row>
    <row r="8" spans="1:24" x14ac:dyDescent="0.15">
      <c r="B8" s="468"/>
      <c r="C8" s="166" t="s">
        <v>91</v>
      </c>
      <c r="D8" s="172">
        <f>+'I.Input Data'!C32*1000</f>
        <v>0</v>
      </c>
      <c r="E8" s="173">
        <f>+'I.Input Data'!D32*1000</f>
        <v>0</v>
      </c>
      <c r="F8" s="173">
        <f>+'I.Input Data'!E32*1000</f>
        <v>0</v>
      </c>
      <c r="G8" s="173">
        <f>+'I.Input Data'!F32*1000</f>
        <v>0</v>
      </c>
      <c r="H8" s="173">
        <f>+'I.Input Data'!G32*1000</f>
        <v>0</v>
      </c>
      <c r="I8" s="173">
        <f>+'I.Input Data'!H32*1000</f>
        <v>0</v>
      </c>
      <c r="J8" s="173">
        <f>+'I.Input Data'!I32*1000</f>
        <v>0</v>
      </c>
      <c r="K8" s="173">
        <f>+'I.Input Data'!J32*1000</f>
        <v>0</v>
      </c>
      <c r="L8" s="173">
        <f>+'I.Input Data'!K32*1000</f>
        <v>851162.79069767438</v>
      </c>
      <c r="M8" s="173">
        <f>+'I.Input Data'!L32*1000</f>
        <v>148837.20930232559</v>
      </c>
      <c r="N8" s="204">
        <f>+'I.Input Data'!M32*1000</f>
        <v>0</v>
      </c>
      <c r="O8" s="204">
        <f>+'I.Input Data'!N32*1000</f>
        <v>0</v>
      </c>
      <c r="P8" s="204">
        <f>+'I.Input Data'!O32*1000</f>
        <v>0</v>
      </c>
      <c r="Q8" s="204">
        <f>+'I.Input Data'!P32*1000</f>
        <v>0</v>
      </c>
      <c r="R8" s="204">
        <f>+'I.Input Data'!Q32*1000</f>
        <v>0</v>
      </c>
      <c r="S8" s="204">
        <f>+'I.Input Data'!R32*1000</f>
        <v>0</v>
      </c>
      <c r="T8" s="204">
        <f>+'I.Input Data'!S32*1000</f>
        <v>0</v>
      </c>
      <c r="U8" s="204">
        <f>+'I.Input Data'!T32*1000</f>
        <v>0</v>
      </c>
      <c r="V8" s="204">
        <f>+'I.Input Data'!U32*1000</f>
        <v>0</v>
      </c>
      <c r="W8" s="204">
        <f>+'I.Input Data'!V32*1000</f>
        <v>0</v>
      </c>
      <c r="X8" s="205">
        <f>+'I.Input Data'!W32*1000</f>
        <v>0</v>
      </c>
    </row>
    <row r="9" spans="1:24" x14ac:dyDescent="0.15">
      <c r="B9" s="468"/>
      <c r="C9" s="166" t="s">
        <v>48</v>
      </c>
      <c r="D9" s="172">
        <f>+'I.Input Data'!C33*1000</f>
        <v>0</v>
      </c>
      <c r="E9" s="173">
        <f>+'I.Input Data'!D33*1000</f>
        <v>0</v>
      </c>
      <c r="F9" s="173">
        <f>+'I.Input Data'!E33*1000</f>
        <v>0</v>
      </c>
      <c r="G9" s="173">
        <f>+'I.Input Data'!F33*1000</f>
        <v>0</v>
      </c>
      <c r="H9" s="173">
        <f>+'I.Input Data'!G33*1000</f>
        <v>0</v>
      </c>
      <c r="I9" s="173">
        <f>+'I.Input Data'!H33*1000</f>
        <v>0</v>
      </c>
      <c r="J9" s="173">
        <f>+'I.Input Data'!I33*1000</f>
        <v>0</v>
      </c>
      <c r="K9" s="173">
        <f>+'I.Input Data'!J33*1000</f>
        <v>0</v>
      </c>
      <c r="L9" s="173">
        <f>+'I.Input Data'!K33*1000</f>
        <v>0</v>
      </c>
      <c r="M9" s="173">
        <f>+'I.Input Data'!L33*1000</f>
        <v>800000</v>
      </c>
      <c r="N9" s="204">
        <f>+'I.Input Data'!M33*1000</f>
        <v>0</v>
      </c>
      <c r="O9" s="204">
        <f>+'I.Input Data'!N33*1000</f>
        <v>0</v>
      </c>
      <c r="P9" s="204">
        <f>+'I.Input Data'!O33*1000</f>
        <v>0</v>
      </c>
      <c r="Q9" s="204">
        <f>+'I.Input Data'!P33*1000</f>
        <v>0</v>
      </c>
      <c r="R9" s="204">
        <f>+'I.Input Data'!Q33*1000</f>
        <v>0</v>
      </c>
      <c r="S9" s="204">
        <f>+'I.Input Data'!R33*1000</f>
        <v>0</v>
      </c>
      <c r="T9" s="204">
        <f>+'I.Input Data'!S33*1000</f>
        <v>0</v>
      </c>
      <c r="U9" s="204">
        <f>+'I.Input Data'!T33*1000</f>
        <v>0</v>
      </c>
      <c r="V9" s="204">
        <f>+'I.Input Data'!U33*1000</f>
        <v>0</v>
      </c>
      <c r="W9" s="204">
        <f>+'I.Input Data'!V33*1000</f>
        <v>0</v>
      </c>
      <c r="X9" s="205">
        <f>+'I.Input Data'!W33*1000</f>
        <v>0</v>
      </c>
    </row>
    <row r="10" spans="1:24" x14ac:dyDescent="0.15">
      <c r="B10" s="469"/>
      <c r="C10" s="167" t="s">
        <v>92</v>
      </c>
      <c r="D10" s="180">
        <f>+'I.Input Data'!C34*1000</f>
        <v>0</v>
      </c>
      <c r="E10" s="181">
        <f>+'I.Input Data'!D34*1000</f>
        <v>0</v>
      </c>
      <c r="F10" s="181">
        <f>+'I.Input Data'!E34*1000</f>
        <v>0</v>
      </c>
      <c r="G10" s="181">
        <f>+'I.Input Data'!F34*1000</f>
        <v>0</v>
      </c>
      <c r="H10" s="181">
        <f>+'I.Input Data'!G34*1000</f>
        <v>0</v>
      </c>
      <c r="I10" s="181">
        <f>+'I.Input Data'!H34*1000</f>
        <v>0</v>
      </c>
      <c r="J10" s="181">
        <f>+'I.Input Data'!I34*1000</f>
        <v>0</v>
      </c>
      <c r="K10" s="181">
        <f>+'I.Input Data'!J34*1000</f>
        <v>0</v>
      </c>
      <c r="L10" s="181">
        <f>+'I.Input Data'!K34*1000</f>
        <v>0</v>
      </c>
      <c r="M10" s="181">
        <f>+'I.Input Data'!L34*1000</f>
        <v>0</v>
      </c>
      <c r="N10" s="206">
        <f>+'I.Input Data'!M34*1000</f>
        <v>600000</v>
      </c>
      <c r="O10" s="206">
        <f>+'I.Input Data'!N34*1000</f>
        <v>0</v>
      </c>
      <c r="P10" s="206">
        <f>+'I.Input Data'!O34*1000</f>
        <v>0</v>
      </c>
      <c r="Q10" s="206">
        <f>+'I.Input Data'!P34*1000</f>
        <v>0</v>
      </c>
      <c r="R10" s="206">
        <f>+'I.Input Data'!Q34*1000</f>
        <v>0</v>
      </c>
      <c r="S10" s="206">
        <f>+'I.Input Data'!R34*1000</f>
        <v>0</v>
      </c>
      <c r="T10" s="206">
        <f>+'I.Input Data'!S34*1000</f>
        <v>0</v>
      </c>
      <c r="U10" s="206">
        <f>+'I.Input Data'!T34*1000</f>
        <v>0</v>
      </c>
      <c r="V10" s="206">
        <f>+'I.Input Data'!U34*1000</f>
        <v>0</v>
      </c>
      <c r="W10" s="206">
        <f>+'I.Input Data'!V34*1000</f>
        <v>0</v>
      </c>
      <c r="X10" s="207">
        <f>+'I.Input Data'!W34*1000</f>
        <v>0</v>
      </c>
    </row>
    <row r="11" spans="1:24" x14ac:dyDescent="0.15">
      <c r="B11" s="467" t="s">
        <v>120</v>
      </c>
      <c r="C11" s="165" t="s">
        <v>90</v>
      </c>
      <c r="D11" s="169">
        <f>+D7*'I.Input Data'!$E7</f>
        <v>0</v>
      </c>
      <c r="E11" s="170">
        <f>+E7*'I.Input Data'!$E7</f>
        <v>0</v>
      </c>
      <c r="F11" s="170">
        <f>+F7*'I.Input Data'!$E7</f>
        <v>0</v>
      </c>
      <c r="G11" s="170">
        <f>+G7*'I.Input Data'!$E7</f>
        <v>0</v>
      </c>
      <c r="H11" s="170">
        <f>+H7*'I.Input Data'!$E7</f>
        <v>0</v>
      </c>
      <c r="I11" s="170">
        <f>+I7*'I.Input Data'!$E7</f>
        <v>0</v>
      </c>
      <c r="J11" s="170">
        <f>+J7*'I.Input Data'!$E7</f>
        <v>0</v>
      </c>
      <c r="K11" s="170">
        <f>+K7*'I.Input Data'!$E7</f>
        <v>0</v>
      </c>
      <c r="L11" s="170">
        <f>+L7*'I.Input Data'!$E7</f>
        <v>500000</v>
      </c>
      <c r="M11" s="170">
        <f>+M7*'I.Input Data'!$E7</f>
        <v>0</v>
      </c>
      <c r="N11" s="202">
        <f>+N7*'I.Input Data'!$E7</f>
        <v>0</v>
      </c>
      <c r="O11" s="202">
        <f>+O7*'I.Input Data'!$E7</f>
        <v>0</v>
      </c>
      <c r="P11" s="202">
        <f>+P7*'I.Input Data'!$E7</f>
        <v>0</v>
      </c>
      <c r="Q11" s="202">
        <f>+Q7*'I.Input Data'!$E7</f>
        <v>0</v>
      </c>
      <c r="R11" s="202">
        <f>+R7*'I.Input Data'!$E7</f>
        <v>0</v>
      </c>
      <c r="S11" s="202">
        <f>+S7*'I.Input Data'!$E7</f>
        <v>0</v>
      </c>
      <c r="T11" s="202">
        <f>+T7*'I.Input Data'!$E7</f>
        <v>0</v>
      </c>
      <c r="U11" s="202">
        <f>+U7*'I.Input Data'!$E7</f>
        <v>0</v>
      </c>
      <c r="V11" s="202">
        <f>+V7*'I.Input Data'!$E7</f>
        <v>0</v>
      </c>
      <c r="W11" s="202">
        <f>+W7*'I.Input Data'!$E7</f>
        <v>0</v>
      </c>
      <c r="X11" s="203">
        <f>+X7*'I.Input Data'!$E7</f>
        <v>0</v>
      </c>
    </row>
    <row r="12" spans="1:24" x14ac:dyDescent="0.15">
      <c r="B12" s="468"/>
      <c r="C12" s="166" t="s">
        <v>91</v>
      </c>
      <c r="D12" s="172">
        <f>+D8*'I.Input Data'!$E8</f>
        <v>0</v>
      </c>
      <c r="E12" s="173">
        <f>+E8*'I.Input Data'!$E8</f>
        <v>0</v>
      </c>
      <c r="F12" s="173">
        <f>+F8*'I.Input Data'!$E8</f>
        <v>0</v>
      </c>
      <c r="G12" s="173">
        <f>+G8*'I.Input Data'!$E8</f>
        <v>0</v>
      </c>
      <c r="H12" s="173">
        <f>+H8*'I.Input Data'!$E8</f>
        <v>0</v>
      </c>
      <c r="I12" s="173">
        <f>+I8*'I.Input Data'!$E8</f>
        <v>0</v>
      </c>
      <c r="J12" s="173">
        <f>+J8*'I.Input Data'!$E8</f>
        <v>0</v>
      </c>
      <c r="K12" s="173">
        <f>+K8*'I.Input Data'!$E8</f>
        <v>0</v>
      </c>
      <c r="L12" s="173">
        <f>+L8*'I.Input Data'!$E8</f>
        <v>638372.09302325582</v>
      </c>
      <c r="M12" s="173">
        <f>+M8*'I.Input Data'!$E8</f>
        <v>111627.90697674418</v>
      </c>
      <c r="N12" s="204">
        <f>+N8*'I.Input Data'!$E8</f>
        <v>0</v>
      </c>
      <c r="O12" s="204">
        <f>+O8*'I.Input Data'!$E8</f>
        <v>0</v>
      </c>
      <c r="P12" s="204">
        <f>+P8*'I.Input Data'!$E8</f>
        <v>0</v>
      </c>
      <c r="Q12" s="204">
        <f>+Q8*'I.Input Data'!$E8</f>
        <v>0</v>
      </c>
      <c r="R12" s="204">
        <f>+R8*'I.Input Data'!$E8</f>
        <v>0</v>
      </c>
      <c r="S12" s="204">
        <f>+S8*'I.Input Data'!$E8</f>
        <v>0</v>
      </c>
      <c r="T12" s="204">
        <f>+T8*'I.Input Data'!$E8</f>
        <v>0</v>
      </c>
      <c r="U12" s="204">
        <f>+U8*'I.Input Data'!$E8</f>
        <v>0</v>
      </c>
      <c r="V12" s="204">
        <f>+V8*'I.Input Data'!$E8</f>
        <v>0</v>
      </c>
      <c r="W12" s="204">
        <f>+W8*'I.Input Data'!$E8</f>
        <v>0</v>
      </c>
      <c r="X12" s="205">
        <f>+X8*'I.Input Data'!$E8</f>
        <v>0</v>
      </c>
    </row>
    <row r="13" spans="1:24" x14ac:dyDescent="0.15">
      <c r="B13" s="468"/>
      <c r="C13" s="166" t="s">
        <v>48</v>
      </c>
      <c r="D13" s="172">
        <f>+D9*'I.Input Data'!$E9</f>
        <v>0</v>
      </c>
      <c r="E13" s="173">
        <f>+E9*'I.Input Data'!$E9</f>
        <v>0</v>
      </c>
      <c r="F13" s="173">
        <f>+F9*'I.Input Data'!$E9</f>
        <v>0</v>
      </c>
      <c r="G13" s="173">
        <f>+G9*'I.Input Data'!$E9</f>
        <v>0</v>
      </c>
      <c r="H13" s="173">
        <f>+H9*'I.Input Data'!$E9</f>
        <v>0</v>
      </c>
      <c r="I13" s="173">
        <f>+I9*'I.Input Data'!$E9</f>
        <v>0</v>
      </c>
      <c r="J13" s="173">
        <f>+J9*'I.Input Data'!$E9</f>
        <v>0</v>
      </c>
      <c r="K13" s="173">
        <f>+K9*'I.Input Data'!$E9</f>
        <v>0</v>
      </c>
      <c r="L13" s="173">
        <f>+L9*'I.Input Data'!$E9</f>
        <v>0</v>
      </c>
      <c r="M13" s="173">
        <f>+M9*'I.Input Data'!$E9</f>
        <v>400000</v>
      </c>
      <c r="N13" s="204">
        <f>+N9*'I.Input Data'!$E9</f>
        <v>0</v>
      </c>
      <c r="O13" s="204">
        <f>+O9*'I.Input Data'!$E9</f>
        <v>0</v>
      </c>
      <c r="P13" s="204">
        <f>+P9*'I.Input Data'!$E9</f>
        <v>0</v>
      </c>
      <c r="Q13" s="204">
        <f>+Q9*'I.Input Data'!$E9</f>
        <v>0</v>
      </c>
      <c r="R13" s="204">
        <f>+R9*'I.Input Data'!$E9</f>
        <v>0</v>
      </c>
      <c r="S13" s="204">
        <f>+S9*'I.Input Data'!$E9</f>
        <v>0</v>
      </c>
      <c r="T13" s="204">
        <f>+T9*'I.Input Data'!$E9</f>
        <v>0</v>
      </c>
      <c r="U13" s="204">
        <f>+U9*'I.Input Data'!$E9</f>
        <v>0</v>
      </c>
      <c r="V13" s="204">
        <f>+V9*'I.Input Data'!$E9</f>
        <v>0</v>
      </c>
      <c r="W13" s="204">
        <f>+W9*'I.Input Data'!$E9</f>
        <v>0</v>
      </c>
      <c r="X13" s="205">
        <f>+X9*'I.Input Data'!$E9</f>
        <v>0</v>
      </c>
    </row>
    <row r="14" spans="1:24" x14ac:dyDescent="0.15">
      <c r="B14" s="469"/>
      <c r="C14" s="167" t="s">
        <v>92</v>
      </c>
      <c r="D14" s="180">
        <f>+D10*'I.Input Data'!$E10</f>
        <v>0</v>
      </c>
      <c r="E14" s="181">
        <f>+E10*'I.Input Data'!$E10</f>
        <v>0</v>
      </c>
      <c r="F14" s="181">
        <f>+F10*'I.Input Data'!$E10</f>
        <v>0</v>
      </c>
      <c r="G14" s="181">
        <f>+G10*'I.Input Data'!$E10</f>
        <v>0</v>
      </c>
      <c r="H14" s="181">
        <f>+H10*'I.Input Data'!$E10</f>
        <v>0</v>
      </c>
      <c r="I14" s="181">
        <f>+I10*'I.Input Data'!$E10</f>
        <v>0</v>
      </c>
      <c r="J14" s="181">
        <f>+J10*'I.Input Data'!$E10</f>
        <v>0</v>
      </c>
      <c r="K14" s="181">
        <f>+K10*'I.Input Data'!$E10</f>
        <v>0</v>
      </c>
      <c r="L14" s="181">
        <f>+L10*'I.Input Data'!$E10</f>
        <v>0</v>
      </c>
      <c r="M14" s="173">
        <f>+M10*'I.Input Data'!$E10</f>
        <v>0</v>
      </c>
      <c r="N14" s="206">
        <f>+N10*'I.Input Data'!$E10</f>
        <v>300000</v>
      </c>
      <c r="O14" s="206">
        <f>+O10*'I.Input Data'!$E10</f>
        <v>0</v>
      </c>
      <c r="P14" s="206">
        <f>+P10*'I.Input Data'!$E10</f>
        <v>0</v>
      </c>
      <c r="Q14" s="206">
        <f>+Q10*'I.Input Data'!$E10</f>
        <v>0</v>
      </c>
      <c r="R14" s="206">
        <f>+R10*'I.Input Data'!$E10</f>
        <v>0</v>
      </c>
      <c r="S14" s="206">
        <f>+S10*'I.Input Data'!$E10</f>
        <v>0</v>
      </c>
      <c r="T14" s="206">
        <f>+T10*'I.Input Data'!$E10</f>
        <v>0</v>
      </c>
      <c r="U14" s="206">
        <f>+U10*'I.Input Data'!$E10</f>
        <v>0</v>
      </c>
      <c r="V14" s="206">
        <f>+V10*'I.Input Data'!$E10</f>
        <v>0</v>
      </c>
      <c r="W14" s="206">
        <f>+W10*'I.Input Data'!$E10</f>
        <v>0</v>
      </c>
      <c r="X14" s="207">
        <f>+X10*'I.Input Data'!$E10</f>
        <v>0</v>
      </c>
    </row>
    <row r="15" spans="1:24" x14ac:dyDescent="0.15">
      <c r="B15" s="473" t="s">
        <v>123</v>
      </c>
      <c r="C15" s="399"/>
      <c r="D15" s="186"/>
      <c r="E15" s="186"/>
      <c r="F15" s="186"/>
      <c r="G15" s="186"/>
      <c r="H15" s="186"/>
      <c r="I15" s="186"/>
      <c r="J15" s="186"/>
      <c r="K15" s="186"/>
      <c r="L15" s="186"/>
      <c r="M15" s="195"/>
      <c r="N15" s="193">
        <f>+'I.Input Data'!$M$42*('I.Input Data'!M81+'I.Input Data'!M82+'I.Input Data'!M83)</f>
        <v>1000</v>
      </c>
      <c r="O15" s="193">
        <f>+'I.Input Data'!$M$42*('I.Input Data'!N81+'I.Input Data'!N82+'I.Input Data'!N83)</f>
        <v>10000</v>
      </c>
      <c r="P15" s="193">
        <f>+'I.Input Data'!$M$42*('I.Input Data'!O81+'I.Input Data'!O82+'I.Input Data'!O83)</f>
        <v>20500</v>
      </c>
      <c r="Q15" s="193">
        <f>+'I.Input Data'!$M$42*('I.Input Data'!P81+'I.Input Data'!P82+'I.Input Data'!P83)</f>
        <v>22200</v>
      </c>
      <c r="R15" s="193">
        <f>+'I.Input Data'!$M$42*('I.Input Data'!Q81+'I.Input Data'!Q82+'I.Input Data'!Q83)</f>
        <v>20400</v>
      </c>
      <c r="S15" s="193">
        <f>+'I.Input Data'!$M$42*('I.Input Data'!R81+'I.Input Data'!R82+'I.Input Data'!R83)</f>
        <v>50400</v>
      </c>
      <c r="T15" s="193">
        <f>+'I.Input Data'!$M$42*('I.Input Data'!S81+'I.Input Data'!S82+'I.Input Data'!S83)</f>
        <v>60400</v>
      </c>
      <c r="U15" s="193">
        <f>+'I.Input Data'!$M$42*('I.Input Data'!T81+'I.Input Data'!T82+'I.Input Data'!T83)</f>
        <v>65400</v>
      </c>
      <c r="V15" s="193">
        <f>+'I.Input Data'!$M$42*('I.Input Data'!U81+'I.Input Data'!U82+'I.Input Data'!U83)</f>
        <v>80400</v>
      </c>
      <c r="W15" s="193">
        <f>+'I.Input Data'!$M$42*('I.Input Data'!V81+'I.Input Data'!V82+'I.Input Data'!V83)</f>
        <v>45400</v>
      </c>
      <c r="X15" s="194">
        <f>+'I.Input Data'!$M$42*('I.Input Data'!W81+'I.Input Data'!W82+'I.Input Data'!W83)</f>
        <v>45400</v>
      </c>
    </row>
    <row r="16" spans="1:24" x14ac:dyDescent="0.15">
      <c r="B16" s="470" t="s">
        <v>11</v>
      </c>
      <c r="C16" s="183" t="str">
        <f>+'I.Input Data'!K43</f>
        <v>Cost Element N.1</v>
      </c>
      <c r="D16" s="187"/>
      <c r="E16" s="188"/>
      <c r="F16" s="188"/>
      <c r="G16" s="188"/>
      <c r="H16" s="188"/>
      <c r="I16" s="188"/>
      <c r="J16" s="188"/>
      <c r="K16" s="188"/>
      <c r="L16" s="188"/>
      <c r="M16" s="190"/>
      <c r="N16" s="170">
        <f>+'I.Input Data'!M43</f>
        <v>0</v>
      </c>
      <c r="O16" s="170">
        <f>+'I.Input Data'!N43</f>
        <v>0</v>
      </c>
      <c r="P16" s="170">
        <f>+'I.Input Data'!O43</f>
        <v>0</v>
      </c>
      <c r="Q16" s="170">
        <f>+'I.Input Data'!P43</f>
        <v>0</v>
      </c>
      <c r="R16" s="170">
        <f>+'I.Input Data'!Q43</f>
        <v>0</v>
      </c>
      <c r="S16" s="170">
        <f>+'I.Input Data'!R43</f>
        <v>0</v>
      </c>
      <c r="T16" s="170">
        <f>+'I.Input Data'!S43</f>
        <v>0</v>
      </c>
      <c r="U16" s="170">
        <f>+'I.Input Data'!T43</f>
        <v>0</v>
      </c>
      <c r="V16" s="170">
        <f>+'I.Input Data'!U43</f>
        <v>0</v>
      </c>
      <c r="W16" s="170">
        <f>+'I.Input Data'!V43</f>
        <v>0</v>
      </c>
      <c r="X16" s="171">
        <f>+'I.Input Data'!W43</f>
        <v>0</v>
      </c>
    </row>
    <row r="17" spans="2:25" x14ac:dyDescent="0.15">
      <c r="B17" s="471"/>
      <c r="C17" s="184" t="str">
        <f>+'I.Input Data'!K44</f>
        <v>Cost Element N.2</v>
      </c>
      <c r="D17" s="189"/>
      <c r="E17" s="190"/>
      <c r="F17" s="190"/>
      <c r="G17" s="190"/>
      <c r="H17" s="190"/>
      <c r="I17" s="190"/>
      <c r="J17" s="190"/>
      <c r="K17" s="190"/>
      <c r="L17" s="190"/>
      <c r="M17" s="190"/>
      <c r="N17" s="173">
        <f>+'I.Input Data'!M44</f>
        <v>0</v>
      </c>
      <c r="O17" s="173">
        <f>+'I.Input Data'!N44</f>
        <v>0</v>
      </c>
      <c r="P17" s="173">
        <f>+'I.Input Data'!O44</f>
        <v>0</v>
      </c>
      <c r="Q17" s="173">
        <f>+'I.Input Data'!P44</f>
        <v>0</v>
      </c>
      <c r="R17" s="173">
        <f>+'I.Input Data'!Q44</f>
        <v>0</v>
      </c>
      <c r="S17" s="173">
        <f>+'I.Input Data'!R44</f>
        <v>0</v>
      </c>
      <c r="T17" s="173">
        <f>+'I.Input Data'!S44</f>
        <v>0</v>
      </c>
      <c r="U17" s="173">
        <f>+'I.Input Data'!T44</f>
        <v>0</v>
      </c>
      <c r="V17" s="173">
        <f>+'I.Input Data'!U44</f>
        <v>0</v>
      </c>
      <c r="W17" s="173">
        <f>+'I.Input Data'!V44</f>
        <v>0</v>
      </c>
      <c r="X17" s="174">
        <f>+'I.Input Data'!W44</f>
        <v>0</v>
      </c>
    </row>
    <row r="18" spans="2:25" x14ac:dyDescent="0.15">
      <c r="B18" s="471"/>
      <c r="C18" s="184" t="str">
        <f>+'I.Input Data'!K45</f>
        <v>Cost Element N.3</v>
      </c>
      <c r="D18" s="189"/>
      <c r="E18" s="190"/>
      <c r="F18" s="190"/>
      <c r="G18" s="190"/>
      <c r="H18" s="190"/>
      <c r="I18" s="190"/>
      <c r="J18" s="190"/>
      <c r="K18" s="190"/>
      <c r="L18" s="190"/>
      <c r="M18" s="190"/>
      <c r="N18" s="173">
        <f>+'I.Input Data'!M45</f>
        <v>0</v>
      </c>
      <c r="O18" s="173">
        <f>+'I.Input Data'!N45</f>
        <v>0</v>
      </c>
      <c r="P18" s="173">
        <f>+'I.Input Data'!O45</f>
        <v>0</v>
      </c>
      <c r="Q18" s="173">
        <f>+'I.Input Data'!P45</f>
        <v>0</v>
      </c>
      <c r="R18" s="173">
        <f>+'I.Input Data'!Q45</f>
        <v>0</v>
      </c>
      <c r="S18" s="173">
        <f>+'I.Input Data'!R45</f>
        <v>0</v>
      </c>
      <c r="T18" s="173">
        <f>+'I.Input Data'!S45</f>
        <v>0</v>
      </c>
      <c r="U18" s="173">
        <f>+'I.Input Data'!T45</f>
        <v>0</v>
      </c>
      <c r="V18" s="173">
        <f>+'I.Input Data'!U45</f>
        <v>0</v>
      </c>
      <c r="W18" s="173">
        <f>+'I.Input Data'!V45</f>
        <v>0</v>
      </c>
      <c r="X18" s="174">
        <f>+'I.Input Data'!W45</f>
        <v>0</v>
      </c>
    </row>
    <row r="19" spans="2:25" x14ac:dyDescent="0.15">
      <c r="B19" s="472"/>
      <c r="C19" s="185" t="str">
        <f>+'I.Input Data'!K46</f>
        <v>Cost Element N.4</v>
      </c>
      <c r="D19" s="191"/>
      <c r="E19" s="192"/>
      <c r="F19" s="192"/>
      <c r="G19" s="192"/>
      <c r="H19" s="192"/>
      <c r="I19" s="192"/>
      <c r="J19" s="192"/>
      <c r="K19" s="192"/>
      <c r="L19" s="192"/>
      <c r="M19" s="192"/>
      <c r="N19" s="181">
        <f>+'I.Input Data'!M46</f>
        <v>0</v>
      </c>
      <c r="O19" s="181">
        <f>+'I.Input Data'!N46</f>
        <v>0</v>
      </c>
      <c r="P19" s="181">
        <f>+'I.Input Data'!O46</f>
        <v>0</v>
      </c>
      <c r="Q19" s="181">
        <f>+'I.Input Data'!P46</f>
        <v>0</v>
      </c>
      <c r="R19" s="181">
        <f>+'I.Input Data'!Q46</f>
        <v>0</v>
      </c>
      <c r="S19" s="181">
        <f>+'I.Input Data'!R46</f>
        <v>0</v>
      </c>
      <c r="T19" s="181">
        <f>+'I.Input Data'!S46</f>
        <v>0</v>
      </c>
      <c r="U19" s="181">
        <f>+'I.Input Data'!T46</f>
        <v>0</v>
      </c>
      <c r="V19" s="181">
        <f>+'I.Input Data'!U46</f>
        <v>0</v>
      </c>
      <c r="W19" s="181">
        <f>+'I.Input Data'!V46</f>
        <v>0</v>
      </c>
      <c r="X19" s="182">
        <f>+'I.Input Data'!W46</f>
        <v>0</v>
      </c>
    </row>
    <row r="20" spans="2:25" x14ac:dyDescent="0.15">
      <c r="B20" s="467" t="s">
        <v>52</v>
      </c>
      <c r="C20" s="196" t="s">
        <v>121</v>
      </c>
      <c r="D20" s="187"/>
      <c r="E20" s="188"/>
      <c r="F20" s="188"/>
      <c r="G20" s="188"/>
      <c r="H20" s="188"/>
      <c r="I20" s="188"/>
      <c r="J20" s="188"/>
      <c r="K20" s="188"/>
      <c r="L20" s="188"/>
      <c r="M20" s="188"/>
      <c r="N20" s="170">
        <f>('I.Input Data'!M51+'I.Input Data'!M52)*'I.Input Data'!M53</f>
        <v>49440</v>
      </c>
      <c r="O20" s="170">
        <f>('I.Input Data'!N51+'I.Input Data'!N52)*'I.Input Data'!N53</f>
        <v>49440</v>
      </c>
      <c r="P20" s="170">
        <f>('I.Input Data'!O51+'I.Input Data'!O52)*'I.Input Data'!O53</f>
        <v>61800</v>
      </c>
      <c r="Q20" s="170">
        <f>('I.Input Data'!P51+'I.Input Data'!P52)*'I.Input Data'!P53</f>
        <v>77250</v>
      </c>
      <c r="R20" s="170">
        <f>('I.Input Data'!Q51+'I.Input Data'!Q52)*'I.Input Data'!Q53</f>
        <v>103000</v>
      </c>
      <c r="S20" s="170">
        <f>('I.Input Data'!R51+'I.Input Data'!R52)*'I.Input Data'!R53</f>
        <v>103000</v>
      </c>
      <c r="T20" s="170">
        <f>('I.Input Data'!S51+'I.Input Data'!S52)*'I.Input Data'!S53</f>
        <v>103000</v>
      </c>
      <c r="U20" s="170">
        <f>('I.Input Data'!T51+'I.Input Data'!T52)*'I.Input Data'!T53</f>
        <v>103000</v>
      </c>
      <c r="V20" s="170">
        <f>('I.Input Data'!U51+'I.Input Data'!U52)*'I.Input Data'!U53</f>
        <v>103000</v>
      </c>
      <c r="W20" s="170">
        <f>('I.Input Data'!V51+'I.Input Data'!V52)*'I.Input Data'!V53</f>
        <v>103000</v>
      </c>
      <c r="X20" s="170">
        <f>('I.Input Data'!W51+'I.Input Data'!W52)*'I.Input Data'!W53</f>
        <v>103000</v>
      </c>
      <c r="Y20" s="159"/>
    </row>
    <row r="21" spans="2:25" x14ac:dyDescent="0.15">
      <c r="B21" s="468"/>
      <c r="C21" s="197" t="s">
        <v>12</v>
      </c>
      <c r="D21" s="189"/>
      <c r="E21" s="190"/>
      <c r="F21" s="190"/>
      <c r="G21" s="190"/>
      <c r="H21" s="190"/>
      <c r="I21" s="190"/>
      <c r="J21" s="190"/>
      <c r="K21" s="190"/>
      <c r="L21" s="190"/>
      <c r="M21" s="190"/>
      <c r="N21" s="173">
        <f>+('I.Input Data'!M54+'I.Input Data'!M55)*'I.Input Data'!M56</f>
        <v>37500</v>
      </c>
      <c r="O21" s="173">
        <f>+('I.Input Data'!N54+'I.Input Data'!N55)*'I.Input Data'!N56</f>
        <v>37500</v>
      </c>
      <c r="P21" s="173">
        <f>+('I.Input Data'!O54+'I.Input Data'!O55)*'I.Input Data'!O56</f>
        <v>56250</v>
      </c>
      <c r="Q21" s="173">
        <f>+('I.Input Data'!P54+'I.Input Data'!P55)*'I.Input Data'!P56</f>
        <v>56250</v>
      </c>
      <c r="R21" s="173">
        <f>+('I.Input Data'!Q54+'I.Input Data'!Q55)*'I.Input Data'!Q56</f>
        <v>75000</v>
      </c>
      <c r="S21" s="173">
        <f>+('I.Input Data'!R54+'I.Input Data'!R55)*'I.Input Data'!R56</f>
        <v>75000</v>
      </c>
      <c r="T21" s="173">
        <f>+('I.Input Data'!S54+'I.Input Data'!S55)*'I.Input Data'!S56</f>
        <v>75000</v>
      </c>
      <c r="U21" s="173">
        <f>+('I.Input Data'!T54+'I.Input Data'!T55)*'I.Input Data'!T56</f>
        <v>75000</v>
      </c>
      <c r="V21" s="173">
        <f>+('I.Input Data'!U54+'I.Input Data'!U55)*'I.Input Data'!U56</f>
        <v>75000</v>
      </c>
      <c r="W21" s="173">
        <f>+('I.Input Data'!V54+'I.Input Data'!V55)*'I.Input Data'!V56</f>
        <v>75000</v>
      </c>
      <c r="X21" s="173">
        <f>+('I.Input Data'!W54+'I.Input Data'!W55)*'I.Input Data'!W56</f>
        <v>75000</v>
      </c>
      <c r="Y21" s="159"/>
    </row>
    <row r="22" spans="2:25" x14ac:dyDescent="0.15">
      <c r="B22" s="468"/>
      <c r="C22" s="197" t="s">
        <v>122</v>
      </c>
      <c r="D22" s="189"/>
      <c r="E22" s="190"/>
      <c r="F22" s="190"/>
      <c r="G22" s="190"/>
      <c r="H22" s="190"/>
      <c r="I22" s="190"/>
      <c r="J22" s="190"/>
      <c r="K22" s="190"/>
      <c r="L22" s="190"/>
      <c r="M22" s="190"/>
      <c r="N22" s="173">
        <f>+('I.Input Data'!M57+'I.Input Data'!M58)*'I.Input Data'!M59</f>
        <v>12875</v>
      </c>
      <c r="O22" s="173">
        <f>+('I.Input Data'!N57+'I.Input Data'!N58)*'I.Input Data'!N59</f>
        <v>12875</v>
      </c>
      <c r="P22" s="173">
        <f>+('I.Input Data'!O57+'I.Input Data'!O58)*'I.Input Data'!O59</f>
        <v>20600</v>
      </c>
      <c r="Q22" s="173">
        <f>+('I.Input Data'!P57+'I.Input Data'!P58)*'I.Input Data'!P59</f>
        <v>41200</v>
      </c>
      <c r="R22" s="173">
        <f>+('I.Input Data'!Q57+'I.Input Data'!Q58)*'I.Input Data'!Q59</f>
        <v>41200</v>
      </c>
      <c r="S22" s="173">
        <f>+('I.Input Data'!R57+'I.Input Data'!R58)*'I.Input Data'!R59</f>
        <v>41200</v>
      </c>
      <c r="T22" s="173">
        <f>+('I.Input Data'!S57+'I.Input Data'!S58)*'I.Input Data'!S59</f>
        <v>41200</v>
      </c>
      <c r="U22" s="173">
        <f>+('I.Input Data'!T57+'I.Input Data'!T58)*'I.Input Data'!T59</f>
        <v>41200</v>
      </c>
      <c r="V22" s="173">
        <f>+('I.Input Data'!U57+'I.Input Data'!U58)*'I.Input Data'!U59</f>
        <v>41200</v>
      </c>
      <c r="W22" s="173">
        <f>+('I.Input Data'!V57+'I.Input Data'!V58)*'I.Input Data'!V59</f>
        <v>41200</v>
      </c>
      <c r="X22" s="173">
        <f>+('I.Input Data'!W57+'I.Input Data'!W58)*'I.Input Data'!W59</f>
        <v>41200</v>
      </c>
      <c r="Y22" s="159"/>
    </row>
    <row r="23" spans="2:25" x14ac:dyDescent="0.15">
      <c r="B23" s="468"/>
      <c r="C23" s="197" t="str">
        <f>+'I.Input Data'!K60</f>
        <v>Other Facilities Cost N.1</v>
      </c>
      <c r="D23" s="189"/>
      <c r="E23" s="190"/>
      <c r="F23" s="190"/>
      <c r="G23" s="190"/>
      <c r="H23" s="190"/>
      <c r="I23" s="190"/>
      <c r="J23" s="190"/>
      <c r="K23" s="190"/>
      <c r="L23" s="190"/>
      <c r="M23" s="190"/>
      <c r="N23" s="173">
        <f>+'I.Input Data'!M60</f>
        <v>0</v>
      </c>
      <c r="O23" s="173">
        <f>+'I.Input Data'!N60</f>
        <v>0</v>
      </c>
      <c r="P23" s="173">
        <f>+'I.Input Data'!O60</f>
        <v>0</v>
      </c>
      <c r="Q23" s="173">
        <f>+'I.Input Data'!P60</f>
        <v>0</v>
      </c>
      <c r="R23" s="173">
        <f>+'I.Input Data'!Q60</f>
        <v>0</v>
      </c>
      <c r="S23" s="173">
        <f>+'I.Input Data'!R60</f>
        <v>0</v>
      </c>
      <c r="T23" s="173">
        <f>+'I.Input Data'!S60</f>
        <v>0</v>
      </c>
      <c r="U23" s="173">
        <f>+'I.Input Data'!T60</f>
        <v>0</v>
      </c>
      <c r="V23" s="173">
        <f>+'I.Input Data'!U60</f>
        <v>0</v>
      </c>
      <c r="W23" s="173">
        <f>+'I.Input Data'!V60</f>
        <v>0</v>
      </c>
      <c r="X23" s="174">
        <f>+'I.Input Data'!W60</f>
        <v>0</v>
      </c>
    </row>
    <row r="24" spans="2:25" x14ac:dyDescent="0.15">
      <c r="B24" s="468"/>
      <c r="C24" s="197" t="str">
        <f>+'I.Input Data'!K61</f>
        <v>Other Facilities Cost N.2</v>
      </c>
      <c r="D24" s="189"/>
      <c r="E24" s="190"/>
      <c r="F24" s="190"/>
      <c r="G24" s="190"/>
      <c r="H24" s="190"/>
      <c r="I24" s="190"/>
      <c r="J24" s="190"/>
      <c r="K24" s="190"/>
      <c r="L24" s="190"/>
      <c r="M24" s="190"/>
      <c r="N24" s="173">
        <f>+'I.Input Data'!M61</f>
        <v>0</v>
      </c>
      <c r="O24" s="173">
        <f>+'I.Input Data'!N61</f>
        <v>0</v>
      </c>
      <c r="P24" s="173">
        <f>+'I.Input Data'!O61</f>
        <v>0</v>
      </c>
      <c r="Q24" s="173">
        <f>+'I.Input Data'!P61</f>
        <v>0</v>
      </c>
      <c r="R24" s="173">
        <f>+'I.Input Data'!Q61</f>
        <v>0</v>
      </c>
      <c r="S24" s="173">
        <f>+'I.Input Data'!R61</f>
        <v>0</v>
      </c>
      <c r="T24" s="173">
        <f>+'I.Input Data'!S61</f>
        <v>0</v>
      </c>
      <c r="U24" s="173">
        <f>+'I.Input Data'!T61</f>
        <v>0</v>
      </c>
      <c r="V24" s="173">
        <f>+'I.Input Data'!U61</f>
        <v>0</v>
      </c>
      <c r="W24" s="173">
        <f>+'I.Input Data'!V61</f>
        <v>0</v>
      </c>
      <c r="X24" s="174">
        <f>+'I.Input Data'!W61</f>
        <v>0</v>
      </c>
    </row>
    <row r="25" spans="2:25" x14ac:dyDescent="0.15">
      <c r="B25" s="468"/>
      <c r="C25" s="197" t="str">
        <f>+'I.Input Data'!K62</f>
        <v>Other Facilities Cost N.3</v>
      </c>
      <c r="D25" s="189"/>
      <c r="E25" s="190"/>
      <c r="F25" s="190"/>
      <c r="G25" s="190"/>
      <c r="H25" s="190"/>
      <c r="I25" s="190"/>
      <c r="J25" s="190"/>
      <c r="K25" s="190"/>
      <c r="L25" s="190"/>
      <c r="M25" s="190"/>
      <c r="N25" s="173">
        <f>+'I.Input Data'!M62</f>
        <v>0</v>
      </c>
      <c r="O25" s="173">
        <f>+'I.Input Data'!N62</f>
        <v>0</v>
      </c>
      <c r="P25" s="173">
        <f>+'I.Input Data'!O62</f>
        <v>0</v>
      </c>
      <c r="Q25" s="173">
        <f>+'I.Input Data'!P62</f>
        <v>0</v>
      </c>
      <c r="R25" s="173">
        <f>+'I.Input Data'!Q62</f>
        <v>0</v>
      </c>
      <c r="S25" s="173">
        <f>+'I.Input Data'!R62</f>
        <v>0</v>
      </c>
      <c r="T25" s="173">
        <f>+'I.Input Data'!S62</f>
        <v>0</v>
      </c>
      <c r="U25" s="173">
        <f>+'I.Input Data'!T62</f>
        <v>0</v>
      </c>
      <c r="V25" s="173">
        <f>+'I.Input Data'!U62</f>
        <v>0</v>
      </c>
      <c r="W25" s="173">
        <f>+'I.Input Data'!V62</f>
        <v>0</v>
      </c>
      <c r="X25" s="174">
        <f>+'I.Input Data'!W62</f>
        <v>0</v>
      </c>
    </row>
    <row r="26" spans="2:25" x14ac:dyDescent="0.15">
      <c r="B26" s="469"/>
      <c r="C26" s="198" t="s">
        <v>75</v>
      </c>
      <c r="D26" s="191"/>
      <c r="E26" s="192"/>
      <c r="F26" s="192"/>
      <c r="G26" s="192"/>
      <c r="H26" s="192"/>
      <c r="I26" s="192"/>
      <c r="J26" s="192"/>
      <c r="K26" s="192"/>
      <c r="L26" s="192"/>
      <c r="M26" s="192"/>
      <c r="N26" s="181">
        <f>+'I.Input Data'!M63*'I.Input Data'!$M$64</f>
        <v>42000</v>
      </c>
      <c r="O26" s="181">
        <f>+'I.Input Data'!N63*'I.Input Data'!$M$64</f>
        <v>58799.999999999993</v>
      </c>
      <c r="P26" s="181">
        <f>+'I.Input Data'!O63*'I.Input Data'!$M$64</f>
        <v>75600</v>
      </c>
      <c r="Q26" s="181">
        <f>+'I.Input Data'!P63*'I.Input Data'!$M$64</f>
        <v>84000</v>
      </c>
      <c r="R26" s="181">
        <f>+'I.Input Data'!Q63*'I.Input Data'!$M$64</f>
        <v>84000</v>
      </c>
      <c r="S26" s="181">
        <f>+'I.Input Data'!R63*'I.Input Data'!$M$64</f>
        <v>84000</v>
      </c>
      <c r="T26" s="181">
        <f>+'I.Input Data'!S63*'I.Input Data'!$M$64</f>
        <v>84000</v>
      </c>
      <c r="U26" s="181">
        <f>+'I.Input Data'!T63*'I.Input Data'!$M$64</f>
        <v>84000</v>
      </c>
      <c r="V26" s="181">
        <f>+'I.Input Data'!U63*'I.Input Data'!$M$64</f>
        <v>84000</v>
      </c>
      <c r="W26" s="181">
        <f>+'I.Input Data'!V63*'I.Input Data'!$M$64</f>
        <v>84000</v>
      </c>
      <c r="X26" s="182">
        <f>+'I.Input Data'!W63*'I.Input Data'!$M$64</f>
        <v>84000</v>
      </c>
    </row>
    <row r="27" spans="2:25" x14ac:dyDescent="0.15">
      <c r="C27" s="196" t="str">
        <f>CONCATENATE(+'I.Input Data'!K69," dep.",+'I.Input Data'!$M$71,"y")</f>
        <v>Investment N.1 dep.5y</v>
      </c>
      <c r="D27" s="215"/>
      <c r="E27" s="188"/>
      <c r="F27" s="188"/>
      <c r="G27" s="188"/>
      <c r="H27" s="188"/>
      <c r="I27" s="188"/>
      <c r="J27" s="188"/>
      <c r="K27" s="188"/>
      <c r="L27" s="188"/>
      <c r="M27" s="188"/>
      <c r="N27" s="170">
        <f>+'I.Input Data'!M69</f>
        <v>100000</v>
      </c>
      <c r="O27" s="170">
        <f>+'I.Input Data'!N69</f>
        <v>0</v>
      </c>
      <c r="P27" s="170">
        <f>+'I.Input Data'!O69</f>
        <v>0</v>
      </c>
      <c r="Q27" s="170">
        <f>+'I.Input Data'!P69</f>
        <v>0</v>
      </c>
      <c r="R27" s="170">
        <f>+'I.Input Data'!Q69</f>
        <v>0</v>
      </c>
      <c r="S27" s="170">
        <f>+'I.Input Data'!R69</f>
        <v>0</v>
      </c>
      <c r="T27" s="170">
        <f>+'I.Input Data'!S69</f>
        <v>0</v>
      </c>
      <c r="U27" s="170">
        <f>+'I.Input Data'!T69</f>
        <v>0</v>
      </c>
      <c r="V27" s="170">
        <f>+'I.Input Data'!U69</f>
        <v>0</v>
      </c>
      <c r="W27" s="170">
        <f>+'I.Input Data'!V69</f>
        <v>0</v>
      </c>
      <c r="X27" s="171">
        <f>+'I.Input Data'!W69</f>
        <v>0</v>
      </c>
    </row>
    <row r="28" spans="2:25" x14ac:dyDescent="0.15">
      <c r="C28" s="197" t="str">
        <f>CONCATENATE(+'I.Input Data'!K70," dep.",+'I.Input Data'!$M$71,"y")</f>
        <v>Investment N.2 dep.5y</v>
      </c>
      <c r="D28" s="189"/>
      <c r="E28" s="190"/>
      <c r="F28" s="190"/>
      <c r="G28" s="190"/>
      <c r="H28" s="190"/>
      <c r="I28" s="190"/>
      <c r="J28" s="190"/>
      <c r="K28" s="190"/>
      <c r="L28" s="190"/>
      <c r="M28" s="190"/>
      <c r="N28" s="173">
        <f>+'I.Input Data'!M70</f>
        <v>0</v>
      </c>
      <c r="O28" s="173">
        <f>+'I.Input Data'!N70</f>
        <v>20000</v>
      </c>
      <c r="P28" s="173">
        <f>+'I.Input Data'!O70</f>
        <v>0</v>
      </c>
      <c r="Q28" s="173">
        <f>+'I.Input Data'!P70</f>
        <v>0</v>
      </c>
      <c r="R28" s="173">
        <f>+'I.Input Data'!Q70</f>
        <v>0</v>
      </c>
      <c r="S28" s="173">
        <f>+'I.Input Data'!R70</f>
        <v>0</v>
      </c>
      <c r="T28" s="173">
        <f>+'I.Input Data'!S70</f>
        <v>0</v>
      </c>
      <c r="U28" s="173">
        <f>+'I.Input Data'!T70</f>
        <v>0</v>
      </c>
      <c r="V28" s="173">
        <f>+'I.Input Data'!U70</f>
        <v>50000</v>
      </c>
      <c r="W28" s="173">
        <f>+'I.Input Data'!V70</f>
        <v>0</v>
      </c>
      <c r="X28" s="174">
        <f>+'I.Input Data'!W70</f>
        <v>0</v>
      </c>
    </row>
    <row r="29" spans="2:25" x14ac:dyDescent="0.15">
      <c r="C29" s="198" t="str">
        <f>CONCATENATE("Total investment ",+'I.Input Data'!$M$71,"y")</f>
        <v>Total investment 5y</v>
      </c>
      <c r="D29" s="191"/>
      <c r="E29" s="192"/>
      <c r="F29" s="192"/>
      <c r="G29" s="192"/>
      <c r="H29" s="192"/>
      <c r="I29" s="192"/>
      <c r="J29" s="192"/>
      <c r="K29" s="192"/>
      <c r="L29" s="192"/>
      <c r="M29" s="192"/>
      <c r="N29" s="181">
        <f>+SUM(N27:N28)</f>
        <v>100000</v>
      </c>
      <c r="O29" s="181">
        <f t="shared" ref="O29:R29" si="0">+SUM(O27:O28)</f>
        <v>20000</v>
      </c>
      <c r="P29" s="181">
        <f t="shared" si="0"/>
        <v>0</v>
      </c>
      <c r="Q29" s="181">
        <f t="shared" si="0"/>
        <v>0</v>
      </c>
      <c r="R29" s="181">
        <f t="shared" si="0"/>
        <v>0</v>
      </c>
      <c r="S29" s="181">
        <f t="shared" ref="S29:X29" si="1">+SUM(S27:S28)</f>
        <v>0</v>
      </c>
      <c r="T29" s="181">
        <f t="shared" si="1"/>
        <v>0</v>
      </c>
      <c r="U29" s="181">
        <f t="shared" si="1"/>
        <v>0</v>
      </c>
      <c r="V29" s="181">
        <f t="shared" si="1"/>
        <v>50000</v>
      </c>
      <c r="W29" s="181">
        <f t="shared" si="1"/>
        <v>0</v>
      </c>
      <c r="X29" s="182">
        <f t="shared" si="1"/>
        <v>0</v>
      </c>
    </row>
    <row r="30" spans="2:25" x14ac:dyDescent="0.15">
      <c r="C30" s="196" t="str">
        <f>CONCATENATE(+'I.Input Data'!K72," dep.",+'I.Input Data'!$M$74,"y")</f>
        <v>Investment N.3 dep.7y</v>
      </c>
      <c r="D30" s="187"/>
      <c r="E30" s="188"/>
      <c r="F30" s="188"/>
      <c r="G30" s="188"/>
      <c r="H30" s="188"/>
      <c r="I30" s="188"/>
      <c r="J30" s="188"/>
      <c r="K30" s="188"/>
      <c r="L30" s="188"/>
      <c r="M30" s="188"/>
      <c r="N30" s="170">
        <f>+'I.Input Data'!M72</f>
        <v>5000</v>
      </c>
      <c r="O30" s="170">
        <f>+'I.Input Data'!N72</f>
        <v>0</v>
      </c>
      <c r="P30" s="170">
        <f>+'I.Input Data'!O72</f>
        <v>0</v>
      </c>
      <c r="Q30" s="170">
        <f>+'I.Input Data'!P72</f>
        <v>0</v>
      </c>
      <c r="R30" s="170">
        <f>+'I.Input Data'!Q72</f>
        <v>0</v>
      </c>
      <c r="S30" s="170">
        <f>+'I.Input Data'!R72</f>
        <v>0</v>
      </c>
      <c r="T30" s="170">
        <f>+'I.Input Data'!S72</f>
        <v>0</v>
      </c>
      <c r="U30" s="170">
        <f>+'I.Input Data'!T72</f>
        <v>0</v>
      </c>
      <c r="V30" s="170">
        <f>+'I.Input Data'!U72</f>
        <v>0</v>
      </c>
      <c r="W30" s="170">
        <f>+'I.Input Data'!V72</f>
        <v>0</v>
      </c>
      <c r="X30" s="171">
        <f>+'I.Input Data'!W72</f>
        <v>0</v>
      </c>
    </row>
    <row r="31" spans="2:25" x14ac:dyDescent="0.15">
      <c r="C31" s="197" t="str">
        <f>CONCATENATE(+'I.Input Data'!K73," dep.",+'I.Input Data'!$M$74,"y")</f>
        <v>Investment N.4 dep.7y</v>
      </c>
      <c r="D31" s="189"/>
      <c r="E31" s="190"/>
      <c r="F31" s="190"/>
      <c r="G31" s="190"/>
      <c r="H31" s="190"/>
      <c r="I31" s="190"/>
      <c r="J31" s="190"/>
      <c r="K31" s="190"/>
      <c r="L31" s="190"/>
      <c r="M31" s="190"/>
      <c r="N31" s="173">
        <f>+'I.Input Data'!M73</f>
        <v>0</v>
      </c>
      <c r="O31" s="173">
        <f>+'I.Input Data'!N73</f>
        <v>0</v>
      </c>
      <c r="P31" s="173">
        <f>+'I.Input Data'!O73</f>
        <v>0</v>
      </c>
      <c r="Q31" s="173">
        <f>+'I.Input Data'!P73</f>
        <v>0</v>
      </c>
      <c r="R31" s="173">
        <f>+'I.Input Data'!Q73</f>
        <v>0</v>
      </c>
      <c r="S31" s="173">
        <f>+'I.Input Data'!R73</f>
        <v>0</v>
      </c>
      <c r="T31" s="173">
        <f>+'I.Input Data'!S73</f>
        <v>0</v>
      </c>
      <c r="U31" s="173">
        <f>+'I.Input Data'!T73</f>
        <v>0</v>
      </c>
      <c r="V31" s="173">
        <f>+'I.Input Data'!U73</f>
        <v>0</v>
      </c>
      <c r="W31" s="173">
        <f>+'I.Input Data'!V73</f>
        <v>0</v>
      </c>
      <c r="X31" s="174">
        <f>+'I.Input Data'!W73</f>
        <v>0</v>
      </c>
    </row>
    <row r="32" spans="2:25" x14ac:dyDescent="0.15">
      <c r="C32" s="198" t="str">
        <f>CONCATENATE("Total investment ",+'I.Input Data'!$M$74,"y")</f>
        <v>Total investment 7y</v>
      </c>
      <c r="D32" s="191"/>
      <c r="E32" s="192"/>
      <c r="F32" s="192"/>
      <c r="G32" s="192"/>
      <c r="H32" s="192"/>
      <c r="I32" s="192"/>
      <c r="J32" s="192"/>
      <c r="K32" s="192"/>
      <c r="L32" s="192"/>
      <c r="M32" s="192"/>
      <c r="N32" s="181">
        <f>+SUM(N30:N31)</f>
        <v>5000</v>
      </c>
      <c r="O32" s="181">
        <f t="shared" ref="O32:R32" si="2">+SUM(O30:O31)</f>
        <v>0</v>
      </c>
      <c r="P32" s="181">
        <f t="shared" si="2"/>
        <v>0</v>
      </c>
      <c r="Q32" s="181">
        <f t="shared" si="2"/>
        <v>0</v>
      </c>
      <c r="R32" s="181">
        <f t="shared" si="2"/>
        <v>0</v>
      </c>
      <c r="S32" s="181">
        <f t="shared" ref="S32:X32" si="3">+SUM(S30:S31)</f>
        <v>0</v>
      </c>
      <c r="T32" s="181">
        <f t="shared" si="3"/>
        <v>0</v>
      </c>
      <c r="U32" s="181">
        <f t="shared" si="3"/>
        <v>0</v>
      </c>
      <c r="V32" s="181">
        <f t="shared" si="3"/>
        <v>0</v>
      </c>
      <c r="W32" s="181">
        <f t="shared" si="3"/>
        <v>0</v>
      </c>
      <c r="X32" s="182">
        <f t="shared" si="3"/>
        <v>0</v>
      </c>
    </row>
  </sheetData>
  <mergeCells count="7">
    <mergeCell ref="O5:X5"/>
    <mergeCell ref="B7:B10"/>
    <mergeCell ref="B16:B19"/>
    <mergeCell ref="B20:B26"/>
    <mergeCell ref="B11:B14"/>
    <mergeCell ref="B15:C15"/>
    <mergeCell ref="D5:M5"/>
  </mergeCells>
  <conditionalFormatting sqref="D6:M6 W6:X6">
    <cfRule type="expression" dxfId="24" priority="16">
      <formula>#REF!="Yes"</formula>
    </cfRule>
  </conditionalFormatting>
  <conditionalFormatting sqref="D6:M6 W6:X6">
    <cfRule type="expression" dxfId="23" priority="15">
      <formula>#REF!="No"</formula>
    </cfRule>
  </conditionalFormatting>
  <conditionalFormatting sqref="D6:M6 W6:X6">
    <cfRule type="expression" dxfId="22" priority="14">
      <formula>#REF!="Yes"</formula>
    </cfRule>
  </conditionalFormatting>
  <conditionalFormatting sqref="B15">
    <cfRule type="expression" dxfId="21" priority="13">
      <formula>#REF!="No"</formula>
    </cfRule>
  </conditionalFormatting>
  <conditionalFormatting sqref="B16">
    <cfRule type="expression" dxfId="20" priority="12">
      <formula>#REF!="Yes"</formula>
    </cfRule>
  </conditionalFormatting>
  <conditionalFormatting sqref="B16">
    <cfRule type="expression" dxfId="19" priority="11">
      <formula>#REF!="No"</formula>
    </cfRule>
  </conditionalFormatting>
  <conditionalFormatting sqref="B16">
    <cfRule type="expression" dxfId="18" priority="10">
      <formula>#REF!="Yes"</formula>
    </cfRule>
  </conditionalFormatting>
  <conditionalFormatting sqref="N6:V6">
    <cfRule type="expression" dxfId="17" priority="4">
      <formula>#REF!="Yes"</formula>
    </cfRule>
  </conditionalFormatting>
  <conditionalFormatting sqref="N6:V6">
    <cfRule type="expression" dxfId="16" priority="3">
      <formula>#REF!="No"</formula>
    </cfRule>
  </conditionalFormatting>
  <conditionalFormatting sqref="N6:V6">
    <cfRule type="expression" dxfId="15" priority="2">
      <formula>#REF!="Yes"</formula>
    </cfRule>
  </conditionalFormatting>
  <pageMargins left="0.75" right="0.75" top="1" bottom="1" header="0.5" footer="0.5"/>
  <pageSetup orientation="portrait" horizontalDpi="4294967292" verticalDpi="4294967292" r:id="rId1"/>
  <headerFooter alignWithMargins="0">
    <oddHeader xml:space="preserve">&amp;L&amp;"Arial,Italic"&amp;8Financial Forecast Workbook&amp;R&amp;"Arial,Italic"&amp;8Expenses </oddHeader>
    <oddFooter>&amp;L&amp;"Arial,Italic"&amp;8Version EA-201101014&amp;C&amp;"Arial,Italic"&amp;8Copyright (c) 2011 wendykennedy.com inc.&amp;R&amp;"Arial,Italic"&amp;8Page &amp;P of &amp;N</oddFooter>
  </headerFooter>
  <extLst>
    <ext xmlns:x14="http://schemas.microsoft.com/office/spreadsheetml/2009/9/main" uri="{78C0D931-6437-407d-A8EE-F0AAD7539E65}">
      <x14:conditionalFormattings>
        <x14:conditionalFormatting xmlns:xm="http://schemas.microsoft.com/office/excel/2006/main">
          <x14:cfRule type="expression" priority="171" id="{31372242-D1B9-4C8B-9858-F767EEC6FF3E}">
            <xm:f>$X$6&gt;'I.Input Data'!$J$11</xm:f>
            <x14:dxf>
              <fill>
                <patternFill>
                  <bgColor theme="0" tint="-0.14996795556505021"/>
                </patternFill>
              </fill>
            </x14:dxf>
          </x14:cfRule>
          <xm:sqref>X6:X19 X23:X32</xm:sqref>
        </x14:conditionalFormatting>
        <x14:conditionalFormatting xmlns:xm="http://schemas.microsoft.com/office/excel/2006/main">
          <x14:cfRule type="expression" priority="173" id="{E694AF48-6643-4508-8F13-FC3CBA4F6CF2}">
            <xm:f>N$6&gt;'I.Input Data'!$J$11</xm:f>
            <x14:dxf>
              <fill>
                <patternFill>
                  <bgColor theme="0" tint="-0.14996795556505021"/>
                </patternFill>
              </fill>
            </x14:dxf>
          </x14:cfRule>
          <xm:sqref>N6:W19 N23:W32 N20:X22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3" tint="0.79998168889431442"/>
  </sheetPr>
  <dimension ref="A1:Y131"/>
  <sheetViews>
    <sheetView workbookViewId="0">
      <selection activeCell="A7" sqref="A7:A28"/>
    </sheetView>
  </sheetViews>
  <sheetFormatPr baseColWidth="10" defaultColWidth="8.83203125" defaultRowHeight="13" x14ac:dyDescent="0.15"/>
  <cols>
    <col min="1" max="1" width="8.83203125" style="4"/>
    <col min="2" max="2" width="36.83203125" style="4" customWidth="1"/>
    <col min="3" max="3" width="41.83203125" style="4" customWidth="1"/>
    <col min="4" max="4" width="13.1640625" style="4" hidden="1" customWidth="1"/>
    <col min="5" max="10" width="13" style="4" hidden="1" customWidth="1"/>
    <col min="11" max="11" width="12.1640625" style="4" hidden="1" customWidth="1"/>
    <col min="12" max="12" width="14.83203125" style="4" customWidth="1"/>
    <col min="13" max="13" width="10.83203125" style="4" customWidth="1"/>
    <col min="14" max="14" width="30" style="1" customWidth="1"/>
    <col min="15" max="23" width="12.6640625" style="1" customWidth="1"/>
    <col min="24" max="24" width="12.6640625" style="1" hidden="1" customWidth="1"/>
    <col min="25" max="25" width="10.33203125" style="4" bestFit="1" customWidth="1"/>
    <col min="26" max="16384" width="8.83203125" style="4"/>
  </cols>
  <sheetData>
    <row r="1" spans="1:25" s="41" customFormat="1" ht="19" thickBot="1" x14ac:dyDescent="0.25">
      <c r="A1" s="39" t="s">
        <v>36</v>
      </c>
      <c r="B1" s="26" t="s">
        <v>43</v>
      </c>
      <c r="C1" s="26"/>
      <c r="D1" s="40"/>
      <c r="E1" s="80"/>
      <c r="F1" s="80"/>
      <c r="N1" s="209"/>
      <c r="O1" s="209"/>
      <c r="P1" s="209"/>
      <c r="Q1" s="209"/>
      <c r="R1" s="209"/>
      <c r="S1" s="209"/>
      <c r="T1" s="209"/>
      <c r="U1" s="209"/>
      <c r="V1" s="209"/>
      <c r="W1" s="209"/>
      <c r="X1" s="209"/>
    </row>
    <row r="2" spans="1:25" x14ac:dyDescent="0.15">
      <c r="A2" s="5"/>
      <c r="B2" s="5"/>
      <c r="C2" s="5"/>
      <c r="D2" s="5"/>
      <c r="E2" s="5"/>
      <c r="F2" s="5"/>
      <c r="G2" s="5"/>
      <c r="H2" s="5"/>
      <c r="I2" s="5"/>
      <c r="J2" s="5"/>
      <c r="K2" s="5"/>
      <c r="L2" s="5"/>
      <c r="M2" s="5"/>
      <c r="N2" s="177"/>
      <c r="O2" s="177"/>
    </row>
    <row r="3" spans="1:25" x14ac:dyDescent="0.15">
      <c r="A3" s="5"/>
      <c r="B3" s="5" t="s">
        <v>50</v>
      </c>
      <c r="C3" s="15"/>
      <c r="D3" s="15"/>
      <c r="E3" s="15"/>
      <c r="F3" s="15"/>
      <c r="G3" s="15"/>
      <c r="H3" s="15"/>
      <c r="I3" s="15"/>
      <c r="J3" s="5"/>
      <c r="K3" s="5"/>
      <c r="L3" s="5"/>
      <c r="M3" s="5"/>
      <c r="N3" s="177"/>
      <c r="O3" s="177"/>
    </row>
    <row r="4" spans="1:25" x14ac:dyDescent="0.15">
      <c r="A4" s="134"/>
      <c r="B4" s="5" t="s">
        <v>24</v>
      </c>
    </row>
    <row r="5" spans="1:25" ht="14" thickBot="1" x14ac:dyDescent="0.2">
      <c r="A5" s="120"/>
      <c r="B5" s="370" t="s">
        <v>216</v>
      </c>
      <c r="C5" s="229"/>
      <c r="D5" s="120"/>
      <c r="E5" s="120"/>
      <c r="F5" s="120"/>
      <c r="G5" s="120"/>
      <c r="H5" s="120"/>
      <c r="I5" s="120"/>
      <c r="J5" s="120"/>
      <c r="K5" s="120"/>
      <c r="L5" s="120"/>
      <c r="M5" s="120"/>
      <c r="N5" s="226"/>
      <c r="O5" s="226"/>
      <c r="P5" s="226"/>
      <c r="Q5" s="226"/>
    </row>
    <row r="6" spans="1:25" ht="12.75" customHeight="1" x14ac:dyDescent="0.15">
      <c r="A6" s="344"/>
      <c r="B6" s="345" t="s">
        <v>45</v>
      </c>
      <c r="C6" s="346">
        <f>+'I.Input Data'!C87</f>
        <v>0.1</v>
      </c>
      <c r="D6" s="347"/>
      <c r="E6" s="347"/>
      <c r="F6" s="347"/>
      <c r="G6" s="347"/>
      <c r="H6" s="347"/>
      <c r="I6" s="347"/>
      <c r="J6" s="347"/>
      <c r="K6" s="347"/>
      <c r="L6" s="347"/>
      <c r="M6" s="347"/>
      <c r="N6" s="348"/>
      <c r="O6" s="348"/>
      <c r="P6" s="348"/>
      <c r="Q6" s="348"/>
      <c r="R6" s="348"/>
      <c r="S6" s="348"/>
      <c r="T6" s="348"/>
      <c r="U6" s="348"/>
      <c r="V6" s="349"/>
      <c r="W6" s="349"/>
      <c r="X6" s="349"/>
      <c r="Y6" s="365"/>
    </row>
    <row r="7" spans="1:25" ht="12.75" customHeight="1" x14ac:dyDescent="0.15">
      <c r="A7" s="474" t="s">
        <v>5</v>
      </c>
      <c r="B7" s="105"/>
      <c r="C7" s="106"/>
      <c r="D7" s="489" t="s">
        <v>105</v>
      </c>
      <c r="E7" s="490"/>
      <c r="F7" s="490"/>
      <c r="G7" s="490"/>
      <c r="H7" s="490"/>
      <c r="I7" s="490"/>
      <c r="J7" s="490"/>
      <c r="K7" s="490"/>
      <c r="L7" s="490"/>
      <c r="M7" s="491"/>
      <c r="N7" s="213">
        <f>+'I.Input Data'!F11</f>
        <v>43101</v>
      </c>
      <c r="O7" s="492" t="s">
        <v>65</v>
      </c>
      <c r="P7" s="492"/>
      <c r="Q7" s="492"/>
      <c r="R7" s="492"/>
      <c r="S7" s="492"/>
      <c r="T7" s="492"/>
      <c r="U7" s="492"/>
      <c r="V7" s="492"/>
      <c r="W7" s="492"/>
      <c r="X7" s="492"/>
      <c r="Y7" s="365"/>
    </row>
    <row r="8" spans="1:25" x14ac:dyDescent="0.15">
      <c r="A8" s="475"/>
      <c r="B8" s="109"/>
      <c r="C8" s="260" t="s">
        <v>104</v>
      </c>
      <c r="D8" s="137">
        <f>+'I.Input Data'!C35</f>
        <v>-1</v>
      </c>
      <c r="E8" s="137">
        <f>+'I.Input Data'!D35</f>
        <v>-1</v>
      </c>
      <c r="F8" s="137">
        <f>+'I.Input Data'!E35</f>
        <v>-1</v>
      </c>
      <c r="G8" s="137">
        <f>+'I.Input Data'!F35</f>
        <v>-1</v>
      </c>
      <c r="H8" s="137">
        <f>+'I.Input Data'!G35</f>
        <v>-1</v>
      </c>
      <c r="I8" s="137">
        <f>+'I.Input Data'!H35</f>
        <v>-1</v>
      </c>
      <c r="J8" s="137">
        <f>+'I.Input Data'!I35</f>
        <v>-1</v>
      </c>
      <c r="K8" s="137">
        <f>+'I.Input Data'!J35</f>
        <v>-1</v>
      </c>
      <c r="L8" s="137">
        <f>+'I.Input Data'!K35</f>
        <v>0</v>
      </c>
      <c r="M8" s="137">
        <f>+'I.Input Data'!L35</f>
        <v>1</v>
      </c>
      <c r="N8" s="137">
        <f>+'I.Input Data'!M35</f>
        <v>2</v>
      </c>
      <c r="O8" s="137">
        <f>+'I.Input Data'!N35</f>
        <v>3</v>
      </c>
      <c r="P8" s="137">
        <f>+'I.Input Data'!O35</f>
        <v>4</v>
      </c>
      <c r="Q8" s="137">
        <f>+'I.Input Data'!P35</f>
        <v>5</v>
      </c>
      <c r="R8" s="137">
        <f>+'I.Input Data'!Q35</f>
        <v>6</v>
      </c>
      <c r="S8" s="137">
        <f>+'I.Input Data'!R35</f>
        <v>7</v>
      </c>
      <c r="T8" s="137">
        <f>+'I.Input Data'!S35</f>
        <v>8</v>
      </c>
      <c r="U8" s="137">
        <f>+'I.Input Data'!T35</f>
        <v>9</v>
      </c>
      <c r="V8" s="137">
        <f>+'I.Input Data'!U35</f>
        <v>10</v>
      </c>
      <c r="W8" s="137">
        <f>+'I.Input Data'!V35</f>
        <v>11</v>
      </c>
      <c r="X8" s="364">
        <f>+'I.Input Data'!W35</f>
        <v>12</v>
      </c>
      <c r="Y8" s="365"/>
    </row>
    <row r="9" spans="1:25" x14ac:dyDescent="0.15">
      <c r="A9" s="475"/>
      <c r="B9" s="481" t="s">
        <v>16</v>
      </c>
      <c r="C9" s="210" t="str">
        <f>+'II. Revenues'!B16</f>
        <v>Product Sales Revenue</v>
      </c>
      <c r="D9" s="112"/>
      <c r="E9" s="261"/>
      <c r="F9" s="261"/>
      <c r="G9" s="261"/>
      <c r="H9" s="261"/>
      <c r="I9" s="261"/>
      <c r="J9" s="261"/>
      <c r="K9" s="261"/>
      <c r="L9" s="261"/>
      <c r="M9" s="262"/>
      <c r="N9" s="263">
        <f>+'II. Revenues'!D19</f>
        <v>1200</v>
      </c>
      <c r="O9" s="263">
        <f>+'II. Revenues'!E19</f>
        <v>12000</v>
      </c>
      <c r="P9" s="263">
        <f>+'II. Revenues'!F19</f>
        <v>24050</v>
      </c>
      <c r="Q9" s="263">
        <f>+'II. Revenues'!G19</f>
        <v>26440</v>
      </c>
      <c r="R9" s="263">
        <f>+'II. Revenues'!H19</f>
        <v>24040</v>
      </c>
      <c r="S9" s="263">
        <f>+'II. Revenues'!I19</f>
        <v>60040</v>
      </c>
      <c r="T9" s="263">
        <f>+'II. Revenues'!J19</f>
        <v>72040</v>
      </c>
      <c r="U9" s="263">
        <f>+'II. Revenues'!K19</f>
        <v>78040</v>
      </c>
      <c r="V9" s="263">
        <f>+'II. Revenues'!L19</f>
        <v>96040</v>
      </c>
      <c r="W9" s="263">
        <f>+'II. Revenues'!M19</f>
        <v>54040</v>
      </c>
      <c r="X9" s="263">
        <f>+'II. Revenues'!N19</f>
        <v>54040</v>
      </c>
      <c r="Y9" s="365"/>
    </row>
    <row r="10" spans="1:25" x14ac:dyDescent="0.15">
      <c r="A10" s="475"/>
      <c r="B10" s="485"/>
      <c r="C10" s="211" t="str">
        <f>+'II. Revenues'!B20</f>
        <v>Product Installation Revenue</v>
      </c>
      <c r="D10" s="264"/>
      <c r="E10" s="265"/>
      <c r="F10" s="265"/>
      <c r="G10" s="265"/>
      <c r="H10" s="265"/>
      <c r="I10" s="265"/>
      <c r="J10" s="265"/>
      <c r="K10" s="265"/>
      <c r="L10" s="265"/>
      <c r="M10" s="266"/>
      <c r="N10" s="267">
        <f>+'II. Revenues'!D23</f>
        <v>1500</v>
      </c>
      <c r="O10" s="267">
        <f>+'II. Revenues'!E23</f>
        <v>15000</v>
      </c>
      <c r="P10" s="267">
        <f>+'II. Revenues'!F23</f>
        <v>30100</v>
      </c>
      <c r="Q10" s="267">
        <f>+'II. Revenues'!G23</f>
        <v>33040</v>
      </c>
      <c r="R10" s="267">
        <f>+'II. Revenues'!H23</f>
        <v>30080</v>
      </c>
      <c r="S10" s="267">
        <f>+'II. Revenues'!I23</f>
        <v>75080</v>
      </c>
      <c r="T10" s="267">
        <f>+'II. Revenues'!J23</f>
        <v>90080</v>
      </c>
      <c r="U10" s="267">
        <f>+'II. Revenues'!K23</f>
        <v>97580</v>
      </c>
      <c r="V10" s="267">
        <f>+'II. Revenues'!L23</f>
        <v>120080</v>
      </c>
      <c r="W10" s="267">
        <f>+'II. Revenues'!M23</f>
        <v>67580</v>
      </c>
      <c r="X10" s="267">
        <f>+'II. Revenues'!N23</f>
        <v>67580</v>
      </c>
      <c r="Y10" s="365"/>
    </row>
    <row r="11" spans="1:25" x14ac:dyDescent="0.15">
      <c r="A11" s="475"/>
      <c r="B11" s="485"/>
      <c r="C11" s="211" t="str">
        <f>+'II. Revenues'!B24</f>
        <v>Product Service Fee Revenue</v>
      </c>
      <c r="D11" s="264"/>
      <c r="E11" s="265"/>
      <c r="F11" s="265"/>
      <c r="G11" s="265"/>
      <c r="H11" s="265"/>
      <c r="I11" s="265"/>
      <c r="J11" s="265"/>
      <c r="K11" s="265"/>
      <c r="L11" s="265"/>
      <c r="M11" s="266"/>
      <c r="N11" s="267">
        <f>+'II. Revenues'!D27</f>
        <v>20000</v>
      </c>
      <c r="O11" s="267">
        <f>+'II. Revenues'!E27</f>
        <v>218000</v>
      </c>
      <c r="P11" s="267">
        <f>+'II. Revenues'!F27</f>
        <v>596300</v>
      </c>
      <c r="Q11" s="267">
        <f>+'II. Revenues'!G27</f>
        <v>976710</v>
      </c>
      <c r="R11" s="267">
        <f>+'II. Revenues'!H27</f>
        <v>1279119</v>
      </c>
      <c r="S11" s="267">
        <f>+'II. Revenues'!I27</f>
        <v>2151287.1</v>
      </c>
      <c r="T11" s="267">
        <f>+'II. Revenues'!J27</f>
        <v>3136238.3900000011</v>
      </c>
      <c r="U11" s="267">
        <f>+'II. Revenues'!K27</f>
        <v>4122694.5510000004</v>
      </c>
      <c r="V11" s="267">
        <f>+'II. Revenues'!L27</f>
        <v>5310505.0959000001</v>
      </c>
      <c r="W11" s="267">
        <f>+'II. Revenues'!M27</f>
        <v>5679534.5863099992</v>
      </c>
      <c r="X11" s="267">
        <f>+'II. Revenues'!N27</f>
        <v>6011661.1276789997</v>
      </c>
      <c r="Y11" s="365"/>
    </row>
    <row r="12" spans="1:25" x14ac:dyDescent="0.15">
      <c r="A12" s="475"/>
      <c r="B12" s="485"/>
      <c r="C12" s="212" t="str">
        <f>+'II. Revenues'!B28</f>
        <v>Total Revenues</v>
      </c>
      <c r="D12" s="268"/>
      <c r="E12" s="269"/>
      <c r="F12" s="269"/>
      <c r="G12" s="269"/>
      <c r="H12" s="269"/>
      <c r="I12" s="269"/>
      <c r="J12" s="269"/>
      <c r="K12" s="269"/>
      <c r="L12" s="269"/>
      <c r="M12" s="266"/>
      <c r="N12" s="270">
        <f>+SUM(N9:N11)</f>
        <v>22700</v>
      </c>
      <c r="O12" s="270">
        <f t="shared" ref="O12:X12" si="0">+SUM(O9:O11)</f>
        <v>245000</v>
      </c>
      <c r="P12" s="270">
        <f t="shared" si="0"/>
        <v>650450</v>
      </c>
      <c r="Q12" s="270">
        <f t="shared" si="0"/>
        <v>1036190</v>
      </c>
      <c r="R12" s="270">
        <f t="shared" si="0"/>
        <v>1333239</v>
      </c>
      <c r="S12" s="270">
        <f t="shared" si="0"/>
        <v>2286407.1</v>
      </c>
      <c r="T12" s="270">
        <f t="shared" si="0"/>
        <v>3298358.3900000011</v>
      </c>
      <c r="U12" s="270">
        <f t="shared" si="0"/>
        <v>4298314.5510000009</v>
      </c>
      <c r="V12" s="270">
        <f t="shared" si="0"/>
        <v>5526625.0959000001</v>
      </c>
      <c r="W12" s="270">
        <f t="shared" si="0"/>
        <v>5801154.5863099992</v>
      </c>
      <c r="X12" s="270">
        <f t="shared" si="0"/>
        <v>6133281.1276789997</v>
      </c>
      <c r="Y12" s="365"/>
    </row>
    <row r="13" spans="1:25" x14ac:dyDescent="0.15">
      <c r="A13" s="475"/>
      <c r="B13" s="481" t="s">
        <v>125</v>
      </c>
      <c r="C13" s="217" t="str">
        <f>+'III. Costs'!B16</f>
        <v>Cost of Sales</v>
      </c>
      <c r="D13" s="112"/>
      <c r="E13" s="261"/>
      <c r="F13" s="261"/>
      <c r="G13" s="261"/>
      <c r="H13" s="261"/>
      <c r="I13" s="261"/>
      <c r="J13" s="261"/>
      <c r="K13" s="261"/>
      <c r="L13" s="261"/>
      <c r="M13" s="262"/>
      <c r="N13" s="271">
        <f>+SUM('III. Costs'!N15:N19)</f>
        <v>1000</v>
      </c>
      <c r="O13" s="271">
        <f>+SUM('III. Costs'!O15:O19)</f>
        <v>10000</v>
      </c>
      <c r="P13" s="271">
        <f>+SUM('III. Costs'!P15:P19)</f>
        <v>20500</v>
      </c>
      <c r="Q13" s="271">
        <f>+SUM('III. Costs'!Q15:Q19)</f>
        <v>22200</v>
      </c>
      <c r="R13" s="271">
        <f>+SUM('III. Costs'!R15:R19)</f>
        <v>20400</v>
      </c>
      <c r="S13" s="271">
        <f>+SUM('III. Costs'!S15:S19)</f>
        <v>50400</v>
      </c>
      <c r="T13" s="271">
        <f>+SUM('III. Costs'!T15:T19)</f>
        <v>60400</v>
      </c>
      <c r="U13" s="271">
        <f>+SUM('III. Costs'!U15:U19)</f>
        <v>65400</v>
      </c>
      <c r="V13" s="271">
        <f>+SUM('III. Costs'!V15:V19)</f>
        <v>80400</v>
      </c>
      <c r="W13" s="271">
        <f>+SUM('III. Costs'!W15:W19)</f>
        <v>45400</v>
      </c>
      <c r="X13" s="271">
        <f>+SUM('III. Costs'!X15:X19)</f>
        <v>45400</v>
      </c>
      <c r="Y13" s="365"/>
    </row>
    <row r="14" spans="1:25" x14ac:dyDescent="0.15">
      <c r="A14" s="475"/>
      <c r="B14" s="485"/>
      <c r="C14" s="219" t="str">
        <f>+'III. Costs'!C20</f>
        <v>Sales</v>
      </c>
      <c r="D14" s="113"/>
      <c r="E14" s="272"/>
      <c r="F14" s="272"/>
      <c r="G14" s="272"/>
      <c r="H14" s="272"/>
      <c r="I14" s="272"/>
      <c r="J14" s="272"/>
      <c r="K14" s="272"/>
      <c r="L14" s="272"/>
      <c r="M14" s="266"/>
      <c r="N14" s="273">
        <f>+'III. Costs'!N20</f>
        <v>49440</v>
      </c>
      <c r="O14" s="273">
        <f>+'III. Costs'!O20</f>
        <v>49440</v>
      </c>
      <c r="P14" s="273">
        <f>+'III. Costs'!P20</f>
        <v>61800</v>
      </c>
      <c r="Q14" s="273">
        <f>+'III. Costs'!Q20</f>
        <v>77250</v>
      </c>
      <c r="R14" s="273">
        <f>+'III. Costs'!R20</f>
        <v>103000</v>
      </c>
      <c r="S14" s="273">
        <f>+'III. Costs'!S20</f>
        <v>103000</v>
      </c>
      <c r="T14" s="273">
        <f>+'III. Costs'!T20</f>
        <v>103000</v>
      </c>
      <c r="U14" s="273">
        <f>+'III. Costs'!U20</f>
        <v>103000</v>
      </c>
      <c r="V14" s="273">
        <f>+'III. Costs'!V20</f>
        <v>103000</v>
      </c>
      <c r="W14" s="273">
        <f>+'III. Costs'!W20</f>
        <v>103000</v>
      </c>
      <c r="X14" s="273">
        <f>+'III. Costs'!X20</f>
        <v>103000</v>
      </c>
      <c r="Y14" s="365"/>
    </row>
    <row r="15" spans="1:25" x14ac:dyDescent="0.15">
      <c r="A15" s="475"/>
      <c r="B15" s="485"/>
      <c r="C15" s="219" t="str">
        <f>+'III. Costs'!C21</f>
        <v>Marketing</v>
      </c>
      <c r="D15" s="113"/>
      <c r="E15" s="272"/>
      <c r="F15" s="272"/>
      <c r="G15" s="272"/>
      <c r="H15" s="272"/>
      <c r="I15" s="272"/>
      <c r="J15" s="272"/>
      <c r="K15" s="272"/>
      <c r="L15" s="272"/>
      <c r="M15" s="266"/>
      <c r="N15" s="273">
        <f>+'III. Costs'!N21</f>
        <v>37500</v>
      </c>
      <c r="O15" s="273">
        <f>+'III. Costs'!O21</f>
        <v>37500</v>
      </c>
      <c r="P15" s="273">
        <f>+'III. Costs'!P21</f>
        <v>56250</v>
      </c>
      <c r="Q15" s="273">
        <f>+'III. Costs'!Q21</f>
        <v>56250</v>
      </c>
      <c r="R15" s="273">
        <f>+'III. Costs'!R21</f>
        <v>75000</v>
      </c>
      <c r="S15" s="273">
        <f>+'III. Costs'!S21</f>
        <v>75000</v>
      </c>
      <c r="T15" s="273">
        <f>+'III. Costs'!T21</f>
        <v>75000</v>
      </c>
      <c r="U15" s="273">
        <f>+'III. Costs'!U21</f>
        <v>75000</v>
      </c>
      <c r="V15" s="273">
        <f>+'III. Costs'!V21</f>
        <v>75000</v>
      </c>
      <c r="W15" s="273">
        <f>+'III. Costs'!W21</f>
        <v>75000</v>
      </c>
      <c r="X15" s="273">
        <f>+'III. Costs'!X21</f>
        <v>75000</v>
      </c>
      <c r="Y15" s="365"/>
    </row>
    <row r="16" spans="1:25" x14ac:dyDescent="0.15">
      <c r="A16" s="475"/>
      <c r="B16" s="485"/>
      <c r="C16" s="219" t="str">
        <f>+'III. Costs'!C22</f>
        <v>Admin</v>
      </c>
      <c r="D16" s="113"/>
      <c r="E16" s="272"/>
      <c r="F16" s="272"/>
      <c r="G16" s="272"/>
      <c r="H16" s="272"/>
      <c r="I16" s="272"/>
      <c r="J16" s="272"/>
      <c r="K16" s="272"/>
      <c r="L16" s="272"/>
      <c r="M16" s="266"/>
      <c r="N16" s="273">
        <f>+'III. Costs'!N22</f>
        <v>12875</v>
      </c>
      <c r="O16" s="273">
        <f>+'III. Costs'!O22</f>
        <v>12875</v>
      </c>
      <c r="P16" s="273">
        <f>+'III. Costs'!P22</f>
        <v>20600</v>
      </c>
      <c r="Q16" s="273">
        <f>+'III. Costs'!Q22</f>
        <v>41200</v>
      </c>
      <c r="R16" s="273">
        <f>+'III. Costs'!R22</f>
        <v>41200</v>
      </c>
      <c r="S16" s="273">
        <f>+'III. Costs'!S22</f>
        <v>41200</v>
      </c>
      <c r="T16" s="273">
        <f>+'III. Costs'!T22</f>
        <v>41200</v>
      </c>
      <c r="U16" s="273">
        <f>+'III. Costs'!U22</f>
        <v>41200</v>
      </c>
      <c r="V16" s="273">
        <f>+'III. Costs'!V22</f>
        <v>41200</v>
      </c>
      <c r="W16" s="273">
        <f>+'III. Costs'!W22</f>
        <v>41200</v>
      </c>
      <c r="X16" s="273">
        <f>+'III. Costs'!X22</f>
        <v>41200</v>
      </c>
      <c r="Y16" s="365"/>
    </row>
    <row r="17" spans="1:25" x14ac:dyDescent="0.15">
      <c r="A17" s="475"/>
      <c r="B17" s="485"/>
      <c r="C17" s="220" t="s">
        <v>124</v>
      </c>
      <c r="D17" s="113"/>
      <c r="E17" s="272"/>
      <c r="F17" s="272"/>
      <c r="G17" s="272"/>
      <c r="H17" s="272"/>
      <c r="I17" s="272"/>
      <c r="J17" s="272"/>
      <c r="K17" s="272"/>
      <c r="L17" s="272"/>
      <c r="M17" s="266"/>
      <c r="N17" s="273">
        <f>+'III. Costs'!N23+'III. Costs'!N24+'III. Costs'!N25</f>
        <v>0</v>
      </c>
      <c r="O17" s="273">
        <f>+'III. Costs'!O23+'III. Costs'!O24+'III. Costs'!O25</f>
        <v>0</v>
      </c>
      <c r="P17" s="273">
        <f>+'III. Costs'!P23+'III. Costs'!P24+'III. Costs'!P25</f>
        <v>0</v>
      </c>
      <c r="Q17" s="273">
        <f>+'III. Costs'!Q23+'III. Costs'!Q24+'III. Costs'!Q25</f>
        <v>0</v>
      </c>
      <c r="R17" s="273">
        <f>+'III. Costs'!R23+'III. Costs'!R24+'III. Costs'!R25</f>
        <v>0</v>
      </c>
      <c r="S17" s="273">
        <f>+'III. Costs'!S23+'III. Costs'!S24+'III. Costs'!S25</f>
        <v>0</v>
      </c>
      <c r="T17" s="273">
        <f>+'III. Costs'!T23+'III. Costs'!T24+'III. Costs'!T25</f>
        <v>0</v>
      </c>
      <c r="U17" s="273">
        <f>+'III. Costs'!U23+'III. Costs'!U24+'III. Costs'!U25</f>
        <v>0</v>
      </c>
      <c r="V17" s="273">
        <f>+'III. Costs'!V23+'III. Costs'!V24+'III. Costs'!V25</f>
        <v>0</v>
      </c>
      <c r="W17" s="273">
        <f>+'III. Costs'!W23+'III. Costs'!W24+'III. Costs'!W25</f>
        <v>0</v>
      </c>
      <c r="X17" s="273">
        <f>+'III. Costs'!X23+'III. Costs'!X24+'III. Costs'!X25</f>
        <v>0</v>
      </c>
      <c r="Y17" s="365"/>
    </row>
    <row r="18" spans="1:25" x14ac:dyDescent="0.15">
      <c r="A18" s="475"/>
      <c r="B18" s="482"/>
      <c r="C18" s="99" t="str">
        <f>+'III. Costs'!C26</f>
        <v>Sat Capacity</v>
      </c>
      <c r="D18" s="113"/>
      <c r="E18" s="272"/>
      <c r="F18" s="272"/>
      <c r="G18" s="272"/>
      <c r="H18" s="272"/>
      <c r="I18" s="272"/>
      <c r="J18" s="272"/>
      <c r="K18" s="272"/>
      <c r="L18" s="272"/>
      <c r="M18" s="266"/>
      <c r="N18" s="273">
        <f>+'III. Costs'!N26</f>
        <v>42000</v>
      </c>
      <c r="O18" s="273">
        <f>+'III. Costs'!O26</f>
        <v>58799.999999999993</v>
      </c>
      <c r="P18" s="273">
        <f>+'III. Costs'!P26</f>
        <v>75600</v>
      </c>
      <c r="Q18" s="273">
        <f>+'III. Costs'!Q26</f>
        <v>84000</v>
      </c>
      <c r="R18" s="273">
        <f>+'III. Costs'!R26</f>
        <v>84000</v>
      </c>
      <c r="S18" s="273">
        <f>+'III. Costs'!S26</f>
        <v>84000</v>
      </c>
      <c r="T18" s="273">
        <f>+'III. Costs'!T26</f>
        <v>84000</v>
      </c>
      <c r="U18" s="273">
        <f>+'III. Costs'!U26</f>
        <v>84000</v>
      </c>
      <c r="V18" s="273">
        <f>+'III. Costs'!V26</f>
        <v>84000</v>
      </c>
      <c r="W18" s="273">
        <f>+'III. Costs'!W26</f>
        <v>84000</v>
      </c>
      <c r="X18" s="273">
        <f>+'III. Costs'!X26</f>
        <v>84000</v>
      </c>
      <c r="Y18" s="365"/>
    </row>
    <row r="19" spans="1:25" x14ac:dyDescent="0.15">
      <c r="A19" s="475"/>
      <c r="B19" s="481" t="s">
        <v>128</v>
      </c>
      <c r="C19" s="98" t="s">
        <v>126</v>
      </c>
      <c r="D19" s="274">
        <f>+'III. Costs'!D7+'III. Costs'!D8+'III. Costs'!D9+'III. Costs'!D10</f>
        <v>0</v>
      </c>
      <c r="E19" s="275">
        <f>+'III. Costs'!E7+'III. Costs'!E8+'III. Costs'!E9+'III. Costs'!E10</f>
        <v>0</v>
      </c>
      <c r="F19" s="275">
        <f>+'III. Costs'!F7+'III. Costs'!F8+'III. Costs'!F9+'III. Costs'!F10</f>
        <v>0</v>
      </c>
      <c r="G19" s="275">
        <f>+'III. Costs'!G7+'III. Costs'!G8+'III. Costs'!G9+'III. Costs'!G10</f>
        <v>0</v>
      </c>
      <c r="H19" s="275">
        <f>+'III. Costs'!H7+'III. Costs'!H8+'III. Costs'!H9+'III. Costs'!H10</f>
        <v>0</v>
      </c>
      <c r="I19" s="275">
        <f>+'III. Costs'!I7+'III. Costs'!I8+'III. Costs'!I9+'III. Costs'!I10</f>
        <v>0</v>
      </c>
      <c r="J19" s="275">
        <f>+'III. Costs'!J7+'III. Costs'!J8+'III. Costs'!J9+'III. Costs'!J10</f>
        <v>0</v>
      </c>
      <c r="K19" s="275">
        <f>+'III. Costs'!K7+'III. Costs'!K8+'III. Costs'!K9+'III. Costs'!K10</f>
        <v>0</v>
      </c>
      <c r="L19" s="275">
        <f>+'III. Costs'!L7+'III. Costs'!L8+'III. Costs'!L9+'III. Costs'!L10</f>
        <v>1351162.7906976743</v>
      </c>
      <c r="M19" s="275">
        <f>+'III. Costs'!M7+'III. Costs'!M8+'III. Costs'!M9+'III. Costs'!M10</f>
        <v>948837.20930232562</v>
      </c>
      <c r="N19" s="275">
        <f>+'III. Costs'!N7+'III. Costs'!N8+'III. Costs'!N9+'III. Costs'!N10</f>
        <v>600000</v>
      </c>
      <c r="O19" s="275">
        <f>+'III. Costs'!O7+'III. Costs'!O8+'III. Costs'!O9+'III. Costs'!O10</f>
        <v>0</v>
      </c>
      <c r="P19" s="275">
        <f>+'III. Costs'!P7+'III. Costs'!P8+'III. Costs'!P9+'III. Costs'!P10</f>
        <v>0</v>
      </c>
      <c r="Q19" s="275">
        <f>+'III. Costs'!Q7+'III. Costs'!Q8+'III. Costs'!Q9+'III. Costs'!Q10</f>
        <v>0</v>
      </c>
      <c r="R19" s="275">
        <f>+'III. Costs'!R7+'III. Costs'!R8+'III. Costs'!R9+'III. Costs'!R10</f>
        <v>0</v>
      </c>
      <c r="S19" s="275">
        <f>+'III. Costs'!S7+'III. Costs'!S8+'III. Costs'!S9+'III. Costs'!S10</f>
        <v>0</v>
      </c>
      <c r="T19" s="275">
        <f>+'III. Costs'!T7+'III. Costs'!T8+'III. Costs'!T9+'III. Costs'!T10</f>
        <v>0</v>
      </c>
      <c r="U19" s="275">
        <f>+'III. Costs'!U7+'III. Costs'!U8+'III. Costs'!U9+'III. Costs'!U10</f>
        <v>0</v>
      </c>
      <c r="V19" s="275">
        <f>+'III. Costs'!V7+'III. Costs'!V8+'III. Costs'!V9+'III. Costs'!V10</f>
        <v>0</v>
      </c>
      <c r="W19" s="275">
        <f>+'III. Costs'!W7+'III. Costs'!W8+'III. Costs'!W9+'III. Costs'!W10</f>
        <v>0</v>
      </c>
      <c r="X19" s="275">
        <f>+'III. Costs'!X7+'III. Costs'!X8+'III. Costs'!X9+'III. Costs'!X10</f>
        <v>0</v>
      </c>
      <c r="Y19" s="365"/>
    </row>
    <row r="20" spans="1:25" x14ac:dyDescent="0.15">
      <c r="A20" s="475"/>
      <c r="B20" s="485"/>
      <c r="C20" s="224" t="s">
        <v>120</v>
      </c>
      <c r="D20" s="276">
        <f>-('III. Costs'!D11+'III. Costs'!D12+'III. Costs'!D13+'III. Costs'!D14)</f>
        <v>0</v>
      </c>
      <c r="E20" s="277">
        <f>-('III. Costs'!E11+'III. Costs'!E12+'III. Costs'!E13+'III. Costs'!E14)</f>
        <v>0</v>
      </c>
      <c r="F20" s="277">
        <f>-('III. Costs'!F11+'III. Costs'!F12+'III. Costs'!F13+'III. Costs'!F14)</f>
        <v>0</v>
      </c>
      <c r="G20" s="277">
        <f>-('III. Costs'!G11+'III. Costs'!G12+'III. Costs'!G13+'III. Costs'!G14)</f>
        <v>0</v>
      </c>
      <c r="H20" s="277">
        <f>-('III. Costs'!H11+'III. Costs'!H12+'III. Costs'!H13+'III. Costs'!H14)</f>
        <v>0</v>
      </c>
      <c r="I20" s="277">
        <f>-('III. Costs'!I11+'III. Costs'!I12+'III. Costs'!I13+'III. Costs'!I14)</f>
        <v>0</v>
      </c>
      <c r="J20" s="277">
        <f>-('III. Costs'!J11+'III. Costs'!J12+'III. Costs'!J13+'III. Costs'!J14)</f>
        <v>0</v>
      </c>
      <c r="K20" s="277">
        <f>-('III. Costs'!K11+'III. Costs'!K12+'III. Costs'!K13+'III. Costs'!K14)</f>
        <v>0</v>
      </c>
      <c r="L20" s="277">
        <f>-('III. Costs'!L11+'III. Costs'!L12+'III. Costs'!L13+'III. Costs'!L14)</f>
        <v>-1138372.0930232559</v>
      </c>
      <c r="M20" s="277">
        <f>-('III. Costs'!M11+'III. Costs'!M12+'III. Costs'!M13+'III. Costs'!M14)</f>
        <v>-511627.90697674418</v>
      </c>
      <c r="N20" s="277">
        <f>-('III. Costs'!N11+'III. Costs'!N12+'III. Costs'!N13+'III. Costs'!N14)</f>
        <v>-300000</v>
      </c>
      <c r="O20" s="277">
        <f>-('III. Costs'!O11+'III. Costs'!O12+'III. Costs'!O13+'III. Costs'!O14)</f>
        <v>0</v>
      </c>
      <c r="P20" s="277">
        <f>-('III. Costs'!P11+'III. Costs'!P12+'III. Costs'!P13+'III. Costs'!P14)</f>
        <v>0</v>
      </c>
      <c r="Q20" s="277">
        <f>-('III. Costs'!Q11+'III. Costs'!Q12+'III. Costs'!Q13+'III. Costs'!Q14)</f>
        <v>0</v>
      </c>
      <c r="R20" s="277">
        <f>-('III. Costs'!R11+'III. Costs'!R12+'III. Costs'!R13+'III. Costs'!R14)</f>
        <v>0</v>
      </c>
      <c r="S20" s="277">
        <f>-('III. Costs'!S11+'III. Costs'!S12+'III. Costs'!S13+'III. Costs'!S14)</f>
        <v>0</v>
      </c>
      <c r="T20" s="277">
        <f>-('III. Costs'!T11+'III. Costs'!T12+'III. Costs'!T13+'III. Costs'!T14)</f>
        <v>0</v>
      </c>
      <c r="U20" s="277">
        <f>-('III. Costs'!U11+'III. Costs'!U12+'III. Costs'!U13+'III. Costs'!U14)</f>
        <v>0</v>
      </c>
      <c r="V20" s="277">
        <f>-('III. Costs'!V11+'III. Costs'!V12+'III. Costs'!V13+'III. Costs'!V14)</f>
        <v>0</v>
      </c>
      <c r="W20" s="277">
        <f>-('III. Costs'!W11+'III. Costs'!W12+'III. Costs'!W13+'III. Costs'!W14)</f>
        <v>0</v>
      </c>
      <c r="X20" s="277">
        <f>-('III. Costs'!X11+'III. Costs'!X12+'III. Costs'!X13+'III. Costs'!X14)</f>
        <v>0</v>
      </c>
      <c r="Y20" s="365"/>
    </row>
    <row r="21" spans="1:25" x14ac:dyDescent="0.15">
      <c r="A21" s="475"/>
      <c r="B21" s="482"/>
      <c r="C21" s="222" t="s">
        <v>127</v>
      </c>
      <c r="D21" s="278">
        <f t="shared" ref="D21:I21" si="1">+D19+D20</f>
        <v>0</v>
      </c>
      <c r="E21" s="278">
        <f>+E19+E20</f>
        <v>0</v>
      </c>
      <c r="F21" s="278">
        <f t="shared" si="1"/>
        <v>0</v>
      </c>
      <c r="G21" s="278">
        <f t="shared" si="1"/>
        <v>0</v>
      </c>
      <c r="H21" s="278">
        <f t="shared" si="1"/>
        <v>0</v>
      </c>
      <c r="I21" s="278">
        <f t="shared" si="1"/>
        <v>0</v>
      </c>
      <c r="J21" s="278">
        <f>+J19+J20</f>
        <v>0</v>
      </c>
      <c r="K21" s="278">
        <f t="shared" ref="K21:N21" si="2">+K19+K20</f>
        <v>0</v>
      </c>
      <c r="L21" s="278">
        <f t="shared" si="2"/>
        <v>212790.69767441833</v>
      </c>
      <c r="M21" s="278">
        <f t="shared" si="2"/>
        <v>437209.30232558143</v>
      </c>
      <c r="N21" s="278">
        <f t="shared" si="2"/>
        <v>300000</v>
      </c>
      <c r="O21" s="278">
        <f t="shared" ref="O21:X21" si="3">+O19+O20</f>
        <v>0</v>
      </c>
      <c r="P21" s="278">
        <f t="shared" si="3"/>
        <v>0</v>
      </c>
      <c r="Q21" s="278">
        <f t="shared" si="3"/>
        <v>0</v>
      </c>
      <c r="R21" s="278">
        <f t="shared" si="3"/>
        <v>0</v>
      </c>
      <c r="S21" s="278">
        <f t="shared" si="3"/>
        <v>0</v>
      </c>
      <c r="T21" s="278">
        <f t="shared" si="3"/>
        <v>0</v>
      </c>
      <c r="U21" s="278">
        <f t="shared" si="3"/>
        <v>0</v>
      </c>
      <c r="V21" s="278">
        <f t="shared" si="3"/>
        <v>0</v>
      </c>
      <c r="W21" s="278">
        <f t="shared" si="3"/>
        <v>0</v>
      </c>
      <c r="X21" s="278">
        <f t="shared" si="3"/>
        <v>0</v>
      </c>
      <c r="Y21" s="365"/>
    </row>
    <row r="22" spans="1:25" x14ac:dyDescent="0.15">
      <c r="A22" s="475"/>
      <c r="B22" s="481" t="s">
        <v>15</v>
      </c>
      <c r="C22" s="233" t="s">
        <v>129</v>
      </c>
      <c r="D22" s="279">
        <f>+SUM(D13:D18)+D19</f>
        <v>0</v>
      </c>
      <c r="E22" s="280">
        <f t="shared" ref="E22:M22" si="4">+SUM(E13:E18)+E19</f>
        <v>0</v>
      </c>
      <c r="F22" s="280">
        <f t="shared" si="4"/>
        <v>0</v>
      </c>
      <c r="G22" s="280">
        <f t="shared" si="4"/>
        <v>0</v>
      </c>
      <c r="H22" s="280">
        <f t="shared" si="4"/>
        <v>0</v>
      </c>
      <c r="I22" s="280">
        <f t="shared" si="4"/>
        <v>0</v>
      </c>
      <c r="J22" s="280">
        <f t="shared" si="4"/>
        <v>0</v>
      </c>
      <c r="K22" s="280">
        <f t="shared" si="4"/>
        <v>0</v>
      </c>
      <c r="L22" s="280">
        <f t="shared" si="4"/>
        <v>1351162.7906976743</v>
      </c>
      <c r="M22" s="280">
        <f t="shared" si="4"/>
        <v>948837.20930232562</v>
      </c>
      <c r="N22" s="280">
        <f t="shared" ref="N22:X22" si="5">+SUM(N13:N18)+N19</f>
        <v>742815</v>
      </c>
      <c r="O22" s="280">
        <f t="shared" si="5"/>
        <v>168615</v>
      </c>
      <c r="P22" s="280">
        <f t="shared" si="5"/>
        <v>234750</v>
      </c>
      <c r="Q22" s="280">
        <f t="shared" si="5"/>
        <v>280900</v>
      </c>
      <c r="R22" s="280">
        <f t="shared" si="5"/>
        <v>323600</v>
      </c>
      <c r="S22" s="280">
        <f t="shared" si="5"/>
        <v>353600</v>
      </c>
      <c r="T22" s="280">
        <f t="shared" si="5"/>
        <v>363600</v>
      </c>
      <c r="U22" s="280">
        <f t="shared" si="5"/>
        <v>368600</v>
      </c>
      <c r="V22" s="280">
        <f t="shared" si="5"/>
        <v>383600</v>
      </c>
      <c r="W22" s="280">
        <f t="shared" si="5"/>
        <v>348600</v>
      </c>
      <c r="X22" s="280">
        <f t="shared" si="5"/>
        <v>348600</v>
      </c>
      <c r="Y22" s="365"/>
    </row>
    <row r="23" spans="1:25" x14ac:dyDescent="0.15">
      <c r="A23" s="475"/>
      <c r="B23" s="482"/>
      <c r="C23" s="234" t="s">
        <v>130</v>
      </c>
      <c r="D23" s="268">
        <f>+SUM(D13:D18)+D21</f>
        <v>0</v>
      </c>
      <c r="E23" s="269">
        <f t="shared" ref="E23:M23" si="6">+SUM(E13:E18)+E21</f>
        <v>0</v>
      </c>
      <c r="F23" s="269">
        <f t="shared" si="6"/>
        <v>0</v>
      </c>
      <c r="G23" s="269">
        <f t="shared" si="6"/>
        <v>0</v>
      </c>
      <c r="H23" s="269">
        <f t="shared" si="6"/>
        <v>0</v>
      </c>
      <c r="I23" s="269">
        <f t="shared" si="6"/>
        <v>0</v>
      </c>
      <c r="J23" s="269">
        <f t="shared" si="6"/>
        <v>0</v>
      </c>
      <c r="K23" s="269">
        <f t="shared" si="6"/>
        <v>0</v>
      </c>
      <c r="L23" s="269">
        <f t="shared" si="6"/>
        <v>212790.69767441833</v>
      </c>
      <c r="M23" s="269">
        <f t="shared" si="6"/>
        <v>437209.30232558143</v>
      </c>
      <c r="N23" s="269">
        <f t="shared" ref="N23:X23" si="7">+SUM(N13:N18)+N21</f>
        <v>442815</v>
      </c>
      <c r="O23" s="269">
        <f t="shared" si="7"/>
        <v>168615</v>
      </c>
      <c r="P23" s="269">
        <f t="shared" si="7"/>
        <v>234750</v>
      </c>
      <c r="Q23" s="269">
        <f t="shared" si="7"/>
        <v>280900</v>
      </c>
      <c r="R23" s="269">
        <f t="shared" si="7"/>
        <v>323600</v>
      </c>
      <c r="S23" s="269">
        <f t="shared" si="7"/>
        <v>353600</v>
      </c>
      <c r="T23" s="269">
        <f t="shared" si="7"/>
        <v>363600</v>
      </c>
      <c r="U23" s="269">
        <f t="shared" si="7"/>
        <v>368600</v>
      </c>
      <c r="V23" s="269">
        <f t="shared" si="7"/>
        <v>383600</v>
      </c>
      <c r="W23" s="269">
        <f t="shared" si="7"/>
        <v>348600</v>
      </c>
      <c r="X23" s="269">
        <f t="shared" si="7"/>
        <v>348600</v>
      </c>
      <c r="Y23" s="365"/>
    </row>
    <row r="24" spans="1:25" x14ac:dyDescent="0.15">
      <c r="A24" s="475"/>
      <c r="B24" s="479" t="s">
        <v>133</v>
      </c>
      <c r="C24" s="107" t="s">
        <v>0</v>
      </c>
      <c r="D24" s="281">
        <f t="shared" ref="D24:I24" si="8">+D12-D23</f>
        <v>0</v>
      </c>
      <c r="E24" s="282">
        <f t="shared" si="8"/>
        <v>0</v>
      </c>
      <c r="F24" s="282">
        <f t="shared" si="8"/>
        <v>0</v>
      </c>
      <c r="G24" s="282">
        <f t="shared" si="8"/>
        <v>0</v>
      </c>
      <c r="H24" s="282">
        <f t="shared" si="8"/>
        <v>0</v>
      </c>
      <c r="I24" s="282">
        <f t="shared" si="8"/>
        <v>0</v>
      </c>
      <c r="J24" s="282">
        <f>+J12-J23</f>
        <v>0</v>
      </c>
      <c r="K24" s="282">
        <f t="shared" ref="K24" si="9">+K12-K23</f>
        <v>0</v>
      </c>
      <c r="L24" s="282">
        <f t="shared" ref="L24" si="10">+L12-L23</f>
        <v>-212790.69767441833</v>
      </c>
      <c r="M24" s="282">
        <f t="shared" ref="M24:N24" si="11">+M12-M23</f>
        <v>-437209.30232558143</v>
      </c>
      <c r="N24" s="282">
        <f t="shared" si="11"/>
        <v>-420115</v>
      </c>
      <c r="O24" s="282">
        <f t="shared" ref="O24:X24" si="12">+O12-O23</f>
        <v>76385</v>
      </c>
      <c r="P24" s="282">
        <f t="shared" si="12"/>
        <v>415700</v>
      </c>
      <c r="Q24" s="282">
        <f t="shared" si="12"/>
        <v>755290</v>
      </c>
      <c r="R24" s="282">
        <f t="shared" si="12"/>
        <v>1009639</v>
      </c>
      <c r="S24" s="282">
        <f t="shared" si="12"/>
        <v>1932807.1</v>
      </c>
      <c r="T24" s="282">
        <f t="shared" si="12"/>
        <v>2934758.3900000011</v>
      </c>
      <c r="U24" s="282">
        <f t="shared" si="12"/>
        <v>3929714.5510000009</v>
      </c>
      <c r="V24" s="282">
        <f t="shared" si="12"/>
        <v>5143025.0959000001</v>
      </c>
      <c r="W24" s="282">
        <f t="shared" si="12"/>
        <v>5452554.5863099992</v>
      </c>
      <c r="X24" s="282">
        <f t="shared" si="12"/>
        <v>5784681.1276789997</v>
      </c>
      <c r="Y24" s="365"/>
    </row>
    <row r="25" spans="1:25" x14ac:dyDescent="0.15">
      <c r="A25" s="475"/>
      <c r="B25" s="480"/>
      <c r="C25" s="218" t="s">
        <v>3</v>
      </c>
      <c r="D25" s="283">
        <f>IF(D12=0,0,D24/D12)</f>
        <v>0</v>
      </c>
      <c r="E25" s="284">
        <f t="shared" ref="E25:N25" si="13">IF(E12=0,0,E24/E12)</f>
        <v>0</v>
      </c>
      <c r="F25" s="284">
        <f t="shared" si="13"/>
        <v>0</v>
      </c>
      <c r="G25" s="284">
        <f t="shared" si="13"/>
        <v>0</v>
      </c>
      <c r="H25" s="284">
        <f t="shared" si="13"/>
        <v>0</v>
      </c>
      <c r="I25" s="284">
        <f t="shared" si="13"/>
        <v>0</v>
      </c>
      <c r="J25" s="284">
        <f t="shared" si="13"/>
        <v>0</v>
      </c>
      <c r="K25" s="284">
        <f t="shared" si="13"/>
        <v>0</v>
      </c>
      <c r="L25" s="284">
        <f t="shared" si="13"/>
        <v>0</v>
      </c>
      <c r="M25" s="284">
        <f t="shared" si="13"/>
        <v>0</v>
      </c>
      <c r="N25" s="284">
        <f t="shared" si="13"/>
        <v>-18.507268722466961</v>
      </c>
      <c r="O25" s="284">
        <f t="shared" ref="O25:X25" si="14">IF(O12=0,0,O24/O12)</f>
        <v>0.31177551020408162</v>
      </c>
      <c r="P25" s="284">
        <f t="shared" si="14"/>
        <v>0.63909601045430087</v>
      </c>
      <c r="Q25" s="284">
        <f t="shared" si="14"/>
        <v>0.72891072100676513</v>
      </c>
      <c r="R25" s="284">
        <f t="shared" si="14"/>
        <v>0.75728282776006406</v>
      </c>
      <c r="S25" s="284">
        <f t="shared" si="14"/>
        <v>0.84534687632836691</v>
      </c>
      <c r="T25" s="284">
        <f t="shared" si="14"/>
        <v>0.88976334375840826</v>
      </c>
      <c r="U25" s="284">
        <f t="shared" si="14"/>
        <v>0.91424545699796556</v>
      </c>
      <c r="V25" s="284">
        <f t="shared" si="14"/>
        <v>0.93059055149505643</v>
      </c>
      <c r="W25" s="284">
        <f t="shared" si="14"/>
        <v>0.93990851393226915</v>
      </c>
      <c r="X25" s="284">
        <f t="shared" si="14"/>
        <v>0.94316255968982143</v>
      </c>
      <c r="Y25" s="365"/>
    </row>
    <row r="26" spans="1:25" x14ac:dyDescent="0.15">
      <c r="A26" s="475"/>
      <c r="B26" s="350" t="s">
        <v>56</v>
      </c>
      <c r="C26" s="106" t="s">
        <v>2</v>
      </c>
      <c r="D26" s="285"/>
      <c r="E26" s="286"/>
      <c r="F26" s="286"/>
      <c r="G26" s="286"/>
      <c r="H26" s="286"/>
      <c r="I26" s="286"/>
      <c r="J26" s="286"/>
      <c r="K26" s="286"/>
      <c r="L26" s="286"/>
      <c r="M26" s="287"/>
      <c r="N26" s="288">
        <f>+Depreciation!F61</f>
        <v>20714.285714285714</v>
      </c>
      <c r="O26" s="288">
        <f>+Depreciation!G61</f>
        <v>24714.285714285714</v>
      </c>
      <c r="P26" s="288">
        <f>+Depreciation!H61</f>
        <v>24714.285714285714</v>
      </c>
      <c r="Q26" s="288">
        <f>+Depreciation!I61</f>
        <v>24714.285714285714</v>
      </c>
      <c r="R26" s="288">
        <f>+Depreciation!J61</f>
        <v>24714.285714285714</v>
      </c>
      <c r="S26" s="288">
        <f>+Depreciation!K61</f>
        <v>4714.2857142857147</v>
      </c>
      <c r="T26" s="288">
        <f>+Depreciation!L61</f>
        <v>714.28571428571433</v>
      </c>
      <c r="U26" s="288">
        <f>+Depreciation!M61</f>
        <v>0</v>
      </c>
      <c r="V26" s="288">
        <f>+Depreciation!N61</f>
        <v>10000</v>
      </c>
      <c r="W26" s="288">
        <f>+Depreciation!O61</f>
        <v>10000</v>
      </c>
      <c r="X26" s="288">
        <f>+Depreciation!P61</f>
        <v>10000</v>
      </c>
      <c r="Y26" s="365"/>
    </row>
    <row r="27" spans="1:25" x14ac:dyDescent="0.15">
      <c r="A27" s="475"/>
      <c r="B27" s="483" t="s">
        <v>134</v>
      </c>
      <c r="C27" s="107" t="s">
        <v>131</v>
      </c>
      <c r="D27" s="112">
        <f>+D24-D26</f>
        <v>0</v>
      </c>
      <c r="E27" s="261">
        <f t="shared" ref="E27:N27" si="15">+E24-E26</f>
        <v>0</v>
      </c>
      <c r="F27" s="261">
        <f t="shared" si="15"/>
        <v>0</v>
      </c>
      <c r="G27" s="261">
        <f t="shared" si="15"/>
        <v>0</v>
      </c>
      <c r="H27" s="261">
        <f t="shared" si="15"/>
        <v>0</v>
      </c>
      <c r="I27" s="261">
        <f t="shared" si="15"/>
        <v>0</v>
      </c>
      <c r="J27" s="261">
        <f t="shared" si="15"/>
        <v>0</v>
      </c>
      <c r="K27" s="261">
        <f t="shared" si="15"/>
        <v>0</v>
      </c>
      <c r="L27" s="261">
        <f t="shared" si="15"/>
        <v>-212790.69767441833</v>
      </c>
      <c r="M27" s="261">
        <f t="shared" si="15"/>
        <v>-437209.30232558143</v>
      </c>
      <c r="N27" s="261">
        <f t="shared" si="15"/>
        <v>-440829.28571428574</v>
      </c>
      <c r="O27" s="261">
        <f t="shared" ref="O27:X27" si="16">+O24-O26</f>
        <v>51670.71428571429</v>
      </c>
      <c r="P27" s="261">
        <f t="shared" si="16"/>
        <v>390985.71428571426</v>
      </c>
      <c r="Q27" s="261">
        <f t="shared" si="16"/>
        <v>730575.71428571432</v>
      </c>
      <c r="R27" s="261">
        <f t="shared" si="16"/>
        <v>984924.71428571432</v>
      </c>
      <c r="S27" s="261">
        <f t="shared" si="16"/>
        <v>1928092.8142857144</v>
      </c>
      <c r="T27" s="261">
        <f t="shared" si="16"/>
        <v>2934044.1042857151</v>
      </c>
      <c r="U27" s="261">
        <f t="shared" si="16"/>
        <v>3929714.5510000009</v>
      </c>
      <c r="V27" s="261">
        <f t="shared" si="16"/>
        <v>5133025.0959000001</v>
      </c>
      <c r="W27" s="261">
        <f t="shared" si="16"/>
        <v>5442554.5863099992</v>
      </c>
      <c r="X27" s="261">
        <f t="shared" si="16"/>
        <v>5774681.1276789997</v>
      </c>
      <c r="Y27" s="365"/>
    </row>
    <row r="28" spans="1:25" x14ac:dyDescent="0.15">
      <c r="A28" s="475"/>
      <c r="B28" s="484"/>
      <c r="C28" s="111" t="s">
        <v>4</v>
      </c>
      <c r="D28" s="289">
        <f>IF(D12=0,0,D27/D12)</f>
        <v>0</v>
      </c>
      <c r="E28" s="290">
        <f t="shared" ref="E28:N28" si="17">IF(E12=0,0,E27/E12)</f>
        <v>0</v>
      </c>
      <c r="F28" s="290">
        <f t="shared" si="17"/>
        <v>0</v>
      </c>
      <c r="G28" s="290">
        <f t="shared" si="17"/>
        <v>0</v>
      </c>
      <c r="H28" s="290">
        <f t="shared" si="17"/>
        <v>0</v>
      </c>
      <c r="I28" s="290">
        <f t="shared" si="17"/>
        <v>0</v>
      </c>
      <c r="J28" s="290">
        <f t="shared" si="17"/>
        <v>0</v>
      </c>
      <c r="K28" s="290">
        <f t="shared" si="17"/>
        <v>0</v>
      </c>
      <c r="L28" s="290">
        <f t="shared" si="17"/>
        <v>0</v>
      </c>
      <c r="M28" s="290">
        <f t="shared" si="17"/>
        <v>0</v>
      </c>
      <c r="N28" s="290">
        <f t="shared" si="17"/>
        <v>-19.41979232221523</v>
      </c>
      <c r="O28" s="290">
        <f t="shared" ref="O28:X28" si="18">IF(O12=0,0,O27/O12)</f>
        <v>0.21090087463556853</v>
      </c>
      <c r="P28" s="290">
        <f t="shared" si="18"/>
        <v>0.60110033712924016</v>
      </c>
      <c r="Q28" s="290">
        <f t="shared" si="18"/>
        <v>0.70505960710459892</v>
      </c>
      <c r="R28" s="290">
        <f t="shared" si="18"/>
        <v>0.7387458019797758</v>
      </c>
      <c r="S28" s="290">
        <f t="shared" si="18"/>
        <v>0.84328500129557604</v>
      </c>
      <c r="T28" s="290">
        <f t="shared" si="18"/>
        <v>0.88954678581356772</v>
      </c>
      <c r="U28" s="290">
        <f t="shared" si="18"/>
        <v>0.91424545699796556</v>
      </c>
      <c r="V28" s="290">
        <f t="shared" si="18"/>
        <v>0.92878112895843123</v>
      </c>
      <c r="W28" s="290">
        <f t="shared" si="18"/>
        <v>0.93818471915120982</v>
      </c>
      <c r="X28" s="290">
        <f t="shared" si="18"/>
        <v>0.94153211102917367</v>
      </c>
      <c r="Y28" s="365"/>
    </row>
    <row r="29" spans="1:25" x14ac:dyDescent="0.15">
      <c r="A29" s="476" t="s">
        <v>14</v>
      </c>
      <c r="B29" s="223"/>
      <c r="C29" s="108" t="s">
        <v>1</v>
      </c>
      <c r="D29" s="112">
        <f t="shared" ref="D29:M29" si="19">+D27+D26</f>
        <v>0</v>
      </c>
      <c r="E29" s="261">
        <f t="shared" si="19"/>
        <v>0</v>
      </c>
      <c r="F29" s="261">
        <f t="shared" si="19"/>
        <v>0</v>
      </c>
      <c r="G29" s="261">
        <f t="shared" si="19"/>
        <v>0</v>
      </c>
      <c r="H29" s="261">
        <f t="shared" si="19"/>
        <v>0</v>
      </c>
      <c r="I29" s="261">
        <f t="shared" si="19"/>
        <v>0</v>
      </c>
      <c r="J29" s="261">
        <f t="shared" si="19"/>
        <v>0</v>
      </c>
      <c r="K29" s="261">
        <f t="shared" si="19"/>
        <v>0</v>
      </c>
      <c r="L29" s="261">
        <f t="shared" si="19"/>
        <v>-212790.69767441833</v>
      </c>
      <c r="M29" s="261">
        <f t="shared" si="19"/>
        <v>-437209.30232558143</v>
      </c>
      <c r="N29" s="261">
        <f>+N27+N26</f>
        <v>-420115</v>
      </c>
      <c r="O29" s="261">
        <f t="shared" ref="O29:X29" si="20">+O27+O26</f>
        <v>76385</v>
      </c>
      <c r="P29" s="261">
        <f t="shared" si="20"/>
        <v>415700</v>
      </c>
      <c r="Q29" s="261">
        <f t="shared" si="20"/>
        <v>755290</v>
      </c>
      <c r="R29" s="261">
        <f t="shared" si="20"/>
        <v>1009639</v>
      </c>
      <c r="S29" s="261">
        <f t="shared" si="20"/>
        <v>1932807.1</v>
      </c>
      <c r="T29" s="261">
        <f t="shared" si="20"/>
        <v>2934758.3900000011</v>
      </c>
      <c r="U29" s="261">
        <f t="shared" si="20"/>
        <v>3929714.5510000009</v>
      </c>
      <c r="V29" s="261">
        <f t="shared" si="20"/>
        <v>5143025.0959000001</v>
      </c>
      <c r="W29" s="261">
        <f t="shared" si="20"/>
        <v>5452554.5863099992</v>
      </c>
      <c r="X29" s="261">
        <f t="shared" si="20"/>
        <v>5784681.1276789997</v>
      </c>
      <c r="Y29" s="365"/>
    </row>
    <row r="30" spans="1:25" ht="12.75" customHeight="1" x14ac:dyDescent="0.15">
      <c r="A30" s="477"/>
      <c r="B30" s="266"/>
      <c r="C30" s="110" t="s">
        <v>6</v>
      </c>
      <c r="D30" s="268"/>
      <c r="E30" s="269"/>
      <c r="F30" s="269"/>
      <c r="G30" s="269"/>
      <c r="H30" s="269"/>
      <c r="I30" s="269"/>
      <c r="J30" s="269"/>
      <c r="K30" s="269"/>
      <c r="L30" s="269"/>
      <c r="M30" s="266"/>
      <c r="N30" s="265">
        <f>-('III. Costs'!N29+'III. Costs'!N32)</f>
        <v>-105000</v>
      </c>
      <c r="O30" s="265">
        <f>-('III. Costs'!O29+'III. Costs'!O32)</f>
        <v>-20000</v>
      </c>
      <c r="P30" s="265">
        <f>-('III. Costs'!P29+'III. Costs'!P32)</f>
        <v>0</v>
      </c>
      <c r="Q30" s="265">
        <f>-('III. Costs'!Q29+'III. Costs'!Q32)</f>
        <v>0</v>
      </c>
      <c r="R30" s="265">
        <f>-('III. Costs'!R29+'III. Costs'!R32)</f>
        <v>0</v>
      </c>
      <c r="S30" s="265">
        <f>-('III. Costs'!S29+'III. Costs'!S32)</f>
        <v>0</v>
      </c>
      <c r="T30" s="265">
        <f>-('III. Costs'!T29+'III. Costs'!T32)</f>
        <v>0</v>
      </c>
      <c r="U30" s="265">
        <f>-('III. Costs'!U29+'III. Costs'!U32)</f>
        <v>0</v>
      </c>
      <c r="V30" s="265">
        <f>-('III. Costs'!V29+'III. Costs'!V32)</f>
        <v>-50000</v>
      </c>
      <c r="W30" s="265">
        <f>-('III. Costs'!W29+'III. Costs'!W32)</f>
        <v>0</v>
      </c>
      <c r="X30" s="265">
        <f>-('III. Costs'!X29+'III. Costs'!X32)</f>
        <v>0</v>
      </c>
      <c r="Y30" s="365"/>
    </row>
    <row r="31" spans="1:25" ht="12.75" customHeight="1" x14ac:dyDescent="0.15">
      <c r="A31" s="477"/>
      <c r="B31" s="114"/>
      <c r="C31" s="111" t="s">
        <v>20</v>
      </c>
      <c r="D31" s="115"/>
      <c r="E31" s="291"/>
      <c r="F31" s="291"/>
      <c r="G31" s="291"/>
      <c r="H31" s="291"/>
      <c r="I31" s="291"/>
      <c r="J31" s="291"/>
      <c r="K31" s="291"/>
      <c r="L31" s="291"/>
      <c r="M31" s="291"/>
      <c r="N31" s="291">
        <f>-(N12-M12)*0.05</f>
        <v>-1135</v>
      </c>
      <c r="O31" s="291">
        <f t="shared" ref="O31:X31" si="21">-(O12-N12)*0.05</f>
        <v>-11115</v>
      </c>
      <c r="P31" s="291">
        <f t="shared" si="21"/>
        <v>-20272.5</v>
      </c>
      <c r="Q31" s="291">
        <f t="shared" si="21"/>
        <v>-19287</v>
      </c>
      <c r="R31" s="291">
        <f t="shared" si="21"/>
        <v>-14852.45</v>
      </c>
      <c r="S31" s="291">
        <f t="shared" si="21"/>
        <v>-47658.405000000006</v>
      </c>
      <c r="T31" s="291">
        <f t="shared" si="21"/>
        <v>-50597.564500000051</v>
      </c>
      <c r="U31" s="291">
        <f t="shared" si="21"/>
        <v>-49997.808049999992</v>
      </c>
      <c r="V31" s="291">
        <f t="shared" si="21"/>
        <v>-61415.527244999961</v>
      </c>
      <c r="W31" s="291">
        <f t="shared" si="21"/>
        <v>-13726.474520499958</v>
      </c>
      <c r="X31" s="291">
        <f t="shared" si="21"/>
        <v>-16606.327068450024</v>
      </c>
      <c r="Y31" s="365"/>
    </row>
    <row r="32" spans="1:25" ht="12.75" customHeight="1" x14ac:dyDescent="0.15">
      <c r="A32" s="477"/>
      <c r="B32" s="481" t="s">
        <v>136</v>
      </c>
      <c r="C32" s="108" t="s">
        <v>170</v>
      </c>
      <c r="D32" s="264">
        <f t="shared" ref="D32" si="22">+D29+D30+D31</f>
        <v>0</v>
      </c>
      <c r="E32" s="265">
        <f t="shared" ref="E32" si="23">+E29+E30+E31</f>
        <v>0</v>
      </c>
      <c r="F32" s="265">
        <f t="shared" ref="F32" si="24">+F29+F30+F31</f>
        <v>0</v>
      </c>
      <c r="G32" s="265">
        <f t="shared" ref="G32" si="25">+G29+G30+G31</f>
        <v>0</v>
      </c>
      <c r="H32" s="265">
        <f t="shared" ref="H32" si="26">+H29+H30+H31</f>
        <v>0</v>
      </c>
      <c r="I32" s="265">
        <f t="shared" ref="I32" si="27">+I29+I30+I31</f>
        <v>0</v>
      </c>
      <c r="J32" s="265">
        <f t="shared" ref="J32" si="28">+J29+J30+J31</f>
        <v>0</v>
      </c>
      <c r="K32" s="265">
        <f t="shared" ref="K32" si="29">+K29+K30+K31</f>
        <v>0</v>
      </c>
      <c r="L32" s="265">
        <f>+L29+L30+L31</f>
        <v>-212790.69767441833</v>
      </c>
      <c r="M32" s="265">
        <f t="shared" ref="M32:N32" si="30">+M29+M30+M31</f>
        <v>-437209.30232558143</v>
      </c>
      <c r="N32" s="265">
        <f t="shared" si="30"/>
        <v>-526250</v>
      </c>
      <c r="O32" s="265">
        <f t="shared" ref="O32:X32" si="31">+O29+O30+O31</f>
        <v>45270</v>
      </c>
      <c r="P32" s="265">
        <f t="shared" si="31"/>
        <v>395427.5</v>
      </c>
      <c r="Q32" s="265">
        <f t="shared" si="31"/>
        <v>736003</v>
      </c>
      <c r="R32" s="265">
        <f t="shared" si="31"/>
        <v>994786.55</v>
      </c>
      <c r="S32" s="265">
        <f t="shared" si="31"/>
        <v>1885148.6950000001</v>
      </c>
      <c r="T32" s="265">
        <f t="shared" si="31"/>
        <v>2884160.8255000012</v>
      </c>
      <c r="U32" s="265">
        <f t="shared" si="31"/>
        <v>3879716.7429500008</v>
      </c>
      <c r="V32" s="265">
        <f t="shared" si="31"/>
        <v>5031609.5686550001</v>
      </c>
      <c r="W32" s="265">
        <f t="shared" si="31"/>
        <v>5438828.1117894994</v>
      </c>
      <c r="X32" s="265">
        <f t="shared" si="31"/>
        <v>5768074.8006105497</v>
      </c>
      <c r="Y32" s="365"/>
    </row>
    <row r="33" spans="1:25" x14ac:dyDescent="0.15">
      <c r="A33" s="477"/>
      <c r="B33" s="485"/>
      <c r="C33" s="110" t="s">
        <v>135</v>
      </c>
      <c r="D33" s="264">
        <f>+D32</f>
        <v>0</v>
      </c>
      <c r="E33" s="265">
        <f>+E32+D33</f>
        <v>0</v>
      </c>
      <c r="F33" s="265">
        <f t="shared" ref="F33:N33" si="32">+F32+E33</f>
        <v>0</v>
      </c>
      <c r="G33" s="265">
        <f t="shared" si="32"/>
        <v>0</v>
      </c>
      <c r="H33" s="265">
        <f t="shared" si="32"/>
        <v>0</v>
      </c>
      <c r="I33" s="265">
        <f t="shared" si="32"/>
        <v>0</v>
      </c>
      <c r="J33" s="265">
        <f t="shared" si="32"/>
        <v>0</v>
      </c>
      <c r="K33" s="265">
        <f t="shared" si="32"/>
        <v>0</v>
      </c>
      <c r="L33" s="265">
        <f t="shared" si="32"/>
        <v>-212790.69767441833</v>
      </c>
      <c r="M33" s="265">
        <f t="shared" si="32"/>
        <v>-649999.99999999977</v>
      </c>
      <c r="N33" s="265">
        <f t="shared" si="32"/>
        <v>-1176249.9999999998</v>
      </c>
      <c r="O33" s="265">
        <f t="shared" ref="O33" si="33">+O32+N33</f>
        <v>-1130979.9999999998</v>
      </c>
      <c r="P33" s="265">
        <f t="shared" ref="P33" si="34">+P32+O33</f>
        <v>-735552.49999999977</v>
      </c>
      <c r="Q33" s="265">
        <f t="shared" ref="Q33" si="35">+Q32+P33</f>
        <v>450.50000000023283</v>
      </c>
      <c r="R33" s="265">
        <f t="shared" ref="R33" si="36">+R32+Q33</f>
        <v>995237.05000000028</v>
      </c>
      <c r="S33" s="265">
        <f t="shared" ref="S33" si="37">+S32+R33</f>
        <v>2880385.7450000001</v>
      </c>
      <c r="T33" s="265">
        <f t="shared" ref="T33" si="38">+T32+S33</f>
        <v>5764546.5705000013</v>
      </c>
      <c r="U33" s="265">
        <f t="shared" ref="U33" si="39">+U32+T33</f>
        <v>9644263.3134500012</v>
      </c>
      <c r="V33" s="265">
        <f t="shared" ref="V33" si="40">+V32+U33</f>
        <v>14675872.882105</v>
      </c>
      <c r="W33" s="265">
        <f t="shared" ref="W33" si="41">+W32+V33</f>
        <v>20114700.993894499</v>
      </c>
      <c r="X33" s="265">
        <f t="shared" ref="X33" si="42">+X32+W33</f>
        <v>25882775.794505049</v>
      </c>
      <c r="Y33" s="365"/>
    </row>
    <row r="34" spans="1:25" x14ac:dyDescent="0.15">
      <c r="A34" s="477"/>
      <c r="B34" s="485"/>
      <c r="C34" s="111" t="s">
        <v>171</v>
      </c>
      <c r="D34" s="291">
        <f t="shared" ref="D34:K34" si="43">IF((D8=-1),0,+(D32/(1+$C$6)^(D$8+1)))</f>
        <v>0</v>
      </c>
      <c r="E34" s="291">
        <f t="shared" si="43"/>
        <v>0</v>
      </c>
      <c r="F34" s="291">
        <f t="shared" si="43"/>
        <v>0</v>
      </c>
      <c r="G34" s="291">
        <f t="shared" si="43"/>
        <v>0</v>
      </c>
      <c r="H34" s="291">
        <f t="shared" si="43"/>
        <v>0</v>
      </c>
      <c r="I34" s="291">
        <f t="shared" si="43"/>
        <v>0</v>
      </c>
      <c r="J34" s="291">
        <f t="shared" si="43"/>
        <v>0</v>
      </c>
      <c r="K34" s="291">
        <f t="shared" si="43"/>
        <v>0</v>
      </c>
      <c r="L34" s="291">
        <f>IF((L8=-1),0,+(L32/(1+$C$6)^(L$8+1)))</f>
        <v>-193446.08879492574</v>
      </c>
      <c r="M34" s="291">
        <f>IF((M8=-1),0,+(M32/(1+$C$6)^(M$8+1)))</f>
        <v>-361330.00192196807</v>
      </c>
      <c r="N34" s="291">
        <f t="shared" ref="N34:W34" si="44">IF((N8=-1),0,+(N32/(1+$C$6)^(N$8+1)))</f>
        <v>-395379.41397445515</v>
      </c>
      <c r="O34" s="291">
        <f t="shared" si="44"/>
        <v>30920.01912437674</v>
      </c>
      <c r="P34" s="291">
        <f t="shared" si="44"/>
        <v>245529.36647397399</v>
      </c>
      <c r="Q34" s="291">
        <f t="shared" si="44"/>
        <v>415454.50594137015</v>
      </c>
      <c r="R34" s="291">
        <f t="shared" si="44"/>
        <v>510482.79403921659</v>
      </c>
      <c r="S34" s="291">
        <f t="shared" si="44"/>
        <v>879435.77901024732</v>
      </c>
      <c r="T34" s="291">
        <f t="shared" si="44"/>
        <v>1223165.7370977697</v>
      </c>
      <c r="U34" s="291">
        <f t="shared" si="44"/>
        <v>1495798.7551317713</v>
      </c>
      <c r="V34" s="291">
        <f t="shared" si="44"/>
        <v>1763548.4583857767</v>
      </c>
      <c r="W34" s="291">
        <f t="shared" si="44"/>
        <v>1732978.2486455627</v>
      </c>
      <c r="X34" s="291">
        <f t="shared" ref="X34" si="45">IF((X8=-1),0,+(X32/(1+$C$5)^X$8))</f>
        <v>5768074.8006105497</v>
      </c>
      <c r="Y34" s="366"/>
    </row>
    <row r="35" spans="1:25" x14ac:dyDescent="0.15">
      <c r="A35" s="477"/>
      <c r="B35" s="481" t="s">
        <v>137</v>
      </c>
      <c r="C35" s="108" t="s">
        <v>172</v>
      </c>
      <c r="D35" s="112">
        <f t="shared" ref="D35:K35" si="46">+D29+D30+D31+D20</f>
        <v>0</v>
      </c>
      <c r="E35" s="261">
        <f t="shared" si="46"/>
        <v>0</v>
      </c>
      <c r="F35" s="261">
        <f t="shared" si="46"/>
        <v>0</v>
      </c>
      <c r="G35" s="261">
        <f t="shared" si="46"/>
        <v>0</v>
      </c>
      <c r="H35" s="261">
        <f t="shared" si="46"/>
        <v>0</v>
      </c>
      <c r="I35" s="261">
        <f t="shared" si="46"/>
        <v>0</v>
      </c>
      <c r="J35" s="261">
        <f t="shared" si="46"/>
        <v>0</v>
      </c>
      <c r="K35" s="261">
        <f t="shared" si="46"/>
        <v>0</v>
      </c>
      <c r="L35" s="261">
        <f>+L29+L30+L31+L20</f>
        <v>-1351162.7906976743</v>
      </c>
      <c r="M35" s="261">
        <f t="shared" ref="M35:N35" si="47">+M29+M30+M31+M20</f>
        <v>-948837.20930232562</v>
      </c>
      <c r="N35" s="261">
        <f t="shared" si="47"/>
        <v>-826250</v>
      </c>
      <c r="O35" s="261">
        <f t="shared" ref="O35:X35" si="48">+O29+O30+O31+O20</f>
        <v>45270</v>
      </c>
      <c r="P35" s="261">
        <f t="shared" si="48"/>
        <v>395427.5</v>
      </c>
      <c r="Q35" s="261">
        <f t="shared" si="48"/>
        <v>736003</v>
      </c>
      <c r="R35" s="261">
        <f t="shared" si="48"/>
        <v>994786.55</v>
      </c>
      <c r="S35" s="261">
        <f t="shared" si="48"/>
        <v>1885148.6950000001</v>
      </c>
      <c r="T35" s="261">
        <f t="shared" si="48"/>
        <v>2884160.8255000012</v>
      </c>
      <c r="U35" s="261">
        <f t="shared" si="48"/>
        <v>3879716.7429500008</v>
      </c>
      <c r="V35" s="261">
        <f t="shared" si="48"/>
        <v>5031609.5686550001</v>
      </c>
      <c r="W35" s="261">
        <f t="shared" si="48"/>
        <v>5438828.1117894994</v>
      </c>
      <c r="X35" s="261">
        <f t="shared" si="48"/>
        <v>5768074.8006105497</v>
      </c>
      <c r="Y35" s="365"/>
    </row>
    <row r="36" spans="1:25" x14ac:dyDescent="0.15">
      <c r="A36" s="477"/>
      <c r="B36" s="485"/>
      <c r="C36" s="110" t="s">
        <v>173</v>
      </c>
      <c r="D36" s="292">
        <f>+D35</f>
        <v>0</v>
      </c>
      <c r="E36" s="293">
        <f>+D36+E35</f>
        <v>0</v>
      </c>
      <c r="F36" s="293">
        <f t="shared" ref="F36:N36" si="49">+E36+F35</f>
        <v>0</v>
      </c>
      <c r="G36" s="293">
        <f t="shared" si="49"/>
        <v>0</v>
      </c>
      <c r="H36" s="293">
        <f t="shared" si="49"/>
        <v>0</v>
      </c>
      <c r="I36" s="293">
        <f t="shared" si="49"/>
        <v>0</v>
      </c>
      <c r="J36" s="293">
        <f t="shared" si="49"/>
        <v>0</v>
      </c>
      <c r="K36" s="293">
        <f t="shared" si="49"/>
        <v>0</v>
      </c>
      <c r="L36" s="303">
        <f t="shared" si="49"/>
        <v>-1351162.7906976743</v>
      </c>
      <c r="M36" s="303">
        <f t="shared" si="49"/>
        <v>-2300000</v>
      </c>
      <c r="N36" s="303">
        <f t="shared" si="49"/>
        <v>-3126250</v>
      </c>
      <c r="O36" s="303">
        <f t="shared" ref="O36" si="50">+N36+O35</f>
        <v>-3080980</v>
      </c>
      <c r="P36" s="303">
        <f t="shared" ref="P36" si="51">+O36+P35</f>
        <v>-2685552.5</v>
      </c>
      <c r="Q36" s="303">
        <f t="shared" ref="Q36" si="52">+P36+Q35</f>
        <v>-1949549.5</v>
      </c>
      <c r="R36" s="303">
        <f t="shared" ref="R36" si="53">+Q36+R35</f>
        <v>-954762.95</v>
      </c>
      <c r="S36" s="303">
        <f t="shared" ref="S36" si="54">+R36+S35</f>
        <v>930385.74500000011</v>
      </c>
      <c r="T36" s="303">
        <f t="shared" ref="T36" si="55">+S36+T35</f>
        <v>3814546.5705000013</v>
      </c>
      <c r="U36" s="303">
        <f t="shared" ref="U36" si="56">+T36+U35</f>
        <v>7694263.3134500021</v>
      </c>
      <c r="V36" s="303">
        <f t="shared" ref="V36" si="57">+U36+V35</f>
        <v>12725872.882105002</v>
      </c>
      <c r="W36" s="303">
        <f t="shared" ref="W36" si="58">+V36+W35</f>
        <v>18164700.993894503</v>
      </c>
      <c r="X36" s="303">
        <f t="shared" ref="X36" si="59">+W36+X35</f>
        <v>23932775.794505052</v>
      </c>
      <c r="Y36" s="365"/>
    </row>
    <row r="37" spans="1:25" ht="14" thickBot="1" x14ac:dyDescent="0.2">
      <c r="A37" s="478"/>
      <c r="B37" s="486"/>
      <c r="C37" s="351" t="s">
        <v>174</v>
      </c>
      <c r="D37" s="352">
        <f t="shared" ref="D37:K37" si="60">IF((D8=-1),0,+(D35/(1+$C$6)^(D$8+1)))</f>
        <v>0</v>
      </c>
      <c r="E37" s="352">
        <f t="shared" si="60"/>
        <v>0</v>
      </c>
      <c r="F37" s="352">
        <f t="shared" si="60"/>
        <v>0</v>
      </c>
      <c r="G37" s="352">
        <f t="shared" si="60"/>
        <v>0</v>
      </c>
      <c r="H37" s="352">
        <f t="shared" si="60"/>
        <v>0</v>
      </c>
      <c r="I37" s="352">
        <f t="shared" si="60"/>
        <v>0</v>
      </c>
      <c r="J37" s="352">
        <f t="shared" si="60"/>
        <v>0</v>
      </c>
      <c r="K37" s="352">
        <f t="shared" si="60"/>
        <v>0</v>
      </c>
      <c r="L37" s="352">
        <f>IF((L8=-1),0,+(L35/(1+$C$6)^(L$8+1)))</f>
        <v>-1228329.8097251584</v>
      </c>
      <c r="M37" s="352">
        <f t="shared" ref="M37:W37" si="61">IF((M8=-1),0,+(M35/(1+$C$6)^(M$8+1)))</f>
        <v>-784162.98289448384</v>
      </c>
      <c r="N37" s="352">
        <f t="shared" si="61"/>
        <v>-620773.85424492846</v>
      </c>
      <c r="O37" s="352">
        <f t="shared" si="61"/>
        <v>30920.01912437674</v>
      </c>
      <c r="P37" s="352">
        <f t="shared" si="61"/>
        <v>245529.36647397399</v>
      </c>
      <c r="Q37" s="352">
        <f t="shared" si="61"/>
        <v>415454.50594137015</v>
      </c>
      <c r="R37" s="352">
        <f t="shared" si="61"/>
        <v>510482.79403921659</v>
      </c>
      <c r="S37" s="352">
        <f t="shared" si="61"/>
        <v>879435.77901024732</v>
      </c>
      <c r="T37" s="352">
        <f t="shared" si="61"/>
        <v>1223165.7370977697</v>
      </c>
      <c r="U37" s="352">
        <f t="shared" si="61"/>
        <v>1495798.7551317713</v>
      </c>
      <c r="V37" s="352">
        <f t="shared" si="61"/>
        <v>1763548.4583857767</v>
      </c>
      <c r="W37" s="352">
        <f t="shared" si="61"/>
        <v>1732978.2486455627</v>
      </c>
      <c r="X37" s="352">
        <f t="shared" ref="X37" si="62">IF((X8=-1),0,+(X35/(1+$C$5)^X$8))</f>
        <v>5768074.8006105497</v>
      </c>
      <c r="Y37" s="366"/>
    </row>
    <row r="38" spans="1:25" x14ac:dyDescent="0.15">
      <c r="A38" s="232"/>
      <c r="B38" s="231"/>
      <c r="C38" s="230"/>
      <c r="D38" s="221"/>
      <c r="E38" s="221"/>
      <c r="F38" s="221"/>
      <c r="G38" s="221"/>
      <c r="H38" s="221"/>
      <c r="I38" s="221"/>
      <c r="J38" s="221"/>
      <c r="K38" s="225"/>
      <c r="L38" s="120"/>
      <c r="M38" s="120"/>
      <c r="N38" s="226"/>
      <c r="O38" s="226"/>
      <c r="P38" s="226"/>
      <c r="Q38" s="226"/>
    </row>
    <row r="39" spans="1:25" x14ac:dyDescent="0.15">
      <c r="A39" s="232"/>
      <c r="B39" s="120"/>
      <c r="C39" s="230"/>
      <c r="D39" s="225"/>
      <c r="E39" s="225"/>
      <c r="F39" s="225"/>
      <c r="G39" s="225"/>
      <c r="H39" s="225"/>
      <c r="I39" s="225"/>
      <c r="J39" s="225"/>
      <c r="K39" s="225"/>
      <c r="L39" s="120"/>
      <c r="M39" s="120"/>
      <c r="N39" s="226"/>
      <c r="O39" s="226"/>
      <c r="P39" s="226"/>
      <c r="Q39" s="226"/>
    </row>
    <row r="40" spans="1:25" x14ac:dyDescent="0.15">
      <c r="A40" s="232"/>
      <c r="B40" s="120"/>
      <c r="C40" s="230"/>
      <c r="D40" s="221"/>
      <c r="E40" s="225"/>
      <c r="F40" s="225"/>
      <c r="G40" s="225"/>
      <c r="H40" s="221"/>
      <c r="I40" s="225"/>
      <c r="J40" s="225"/>
      <c r="K40" s="225"/>
      <c r="L40" s="120"/>
      <c r="M40" s="120"/>
      <c r="P40" s="226"/>
      <c r="Q40" s="226"/>
    </row>
    <row r="41" spans="1:25" x14ac:dyDescent="0.15">
      <c r="A41" s="232"/>
      <c r="B41" s="120"/>
      <c r="C41" s="230"/>
      <c r="D41" s="221"/>
      <c r="E41" s="221"/>
      <c r="F41" s="221"/>
      <c r="G41" s="221"/>
      <c r="H41" s="221"/>
      <c r="I41" s="221"/>
      <c r="J41" s="221"/>
      <c r="M41" s="120"/>
      <c r="P41" s="226"/>
      <c r="Q41" s="226"/>
    </row>
    <row r="42" spans="1:25" x14ac:dyDescent="0.15">
      <c r="A42" s="120"/>
      <c r="B42" s="120"/>
      <c r="C42" s="120"/>
      <c r="D42" s="120"/>
      <c r="E42" s="120"/>
      <c r="F42" s="120"/>
      <c r="G42" s="120"/>
      <c r="H42" s="120"/>
      <c r="I42" s="120"/>
      <c r="J42" s="120"/>
      <c r="L42" s="2" t="s">
        <v>217</v>
      </c>
      <c r="M42" s="120"/>
      <c r="P42" s="226"/>
    </row>
    <row r="43" spans="1:25" x14ac:dyDescent="0.15">
      <c r="Q43" s="302"/>
    </row>
    <row r="44" spans="1:25" ht="14" thickBot="1" x14ac:dyDescent="0.2">
      <c r="A44" s="103"/>
    </row>
    <row r="45" spans="1:25" x14ac:dyDescent="0.15">
      <c r="R45" s="487" t="s">
        <v>178</v>
      </c>
      <c r="S45" s="488"/>
    </row>
    <row r="46" spans="1:25" x14ac:dyDescent="0.15">
      <c r="R46" s="354" t="s">
        <v>179</v>
      </c>
      <c r="S46" s="355" t="str">
        <f ca="1">CONCATENATE("year ",COUNTIF(INDIRECT(SUPPORT!$D$33),"&lt;0"))</f>
        <v>year 5</v>
      </c>
    </row>
    <row r="47" spans="1:25" x14ac:dyDescent="0.15">
      <c r="R47" s="356" t="s">
        <v>175</v>
      </c>
      <c r="S47" s="357">
        <f ca="1">IF(SUM(INDIRECT(SUPPORT!$D$34))=0,0,IRR(INDIRECT(SUPPORT!$D$34)))</f>
        <v>0.50369455013984377</v>
      </c>
    </row>
    <row r="48" spans="1:25" ht="14" thickBot="1" x14ac:dyDescent="0.2">
      <c r="R48" s="358" t="s">
        <v>176</v>
      </c>
      <c r="S48" s="353">
        <f ca="1">NPV($C$6,INDIRECT(SUPPORT!$D$34))</f>
        <v>7347158.159158715</v>
      </c>
    </row>
    <row r="52" spans="3:10" x14ac:dyDescent="0.15">
      <c r="E52" s="47"/>
    </row>
    <row r="53" spans="3:10" x14ac:dyDescent="0.15">
      <c r="E53" s="47"/>
    </row>
    <row r="54" spans="3:10" x14ac:dyDescent="0.15">
      <c r="E54" s="1"/>
      <c r="F54" s="1"/>
      <c r="G54" s="1"/>
      <c r="H54" s="1"/>
      <c r="I54" s="1"/>
      <c r="J54" s="1"/>
    </row>
    <row r="56" spans="3:10" x14ac:dyDescent="0.15">
      <c r="C56" s="51"/>
      <c r="D56" s="53"/>
    </row>
    <row r="61" spans="3:10" x14ac:dyDescent="0.15">
      <c r="C61" s="51"/>
      <c r="D61" s="52"/>
    </row>
    <row r="69" spans="18:19" ht="14" thickBot="1" x14ac:dyDescent="0.2"/>
    <row r="70" spans="18:19" x14ac:dyDescent="0.15">
      <c r="R70" s="487" t="s">
        <v>177</v>
      </c>
      <c r="S70" s="488"/>
    </row>
    <row r="71" spans="18:19" x14ac:dyDescent="0.15">
      <c r="R71" s="354" t="s">
        <v>179</v>
      </c>
      <c r="S71" s="359" t="str">
        <f ca="1">CONCATENATE("year ",COUNTIF(INDIRECT(SUPPORT!$D$28),"&lt;0"))</f>
        <v>year 7</v>
      </c>
    </row>
    <row r="72" spans="18:19" x14ac:dyDescent="0.15">
      <c r="R72" s="356" t="s">
        <v>175</v>
      </c>
      <c r="S72" s="357">
        <f ca="1">IF(SUM(INDIRECT(SUPPORT!$D$29))=0,0,IRR(INDIRECT(SUPPORT!$D$29)))</f>
        <v>0.27694816882446416</v>
      </c>
    </row>
    <row r="73" spans="18:19" ht="14" thickBot="1" x14ac:dyDescent="0.2">
      <c r="R73" s="358" t="s">
        <v>176</v>
      </c>
      <c r="S73" s="353">
        <f ca="1">NPV($C$6,INDIRECT(SUPPORT!$D$29))</f>
        <v>5664047.0169854928</v>
      </c>
    </row>
    <row r="90" spans="3:3" x14ac:dyDescent="0.15">
      <c r="C90" s="7"/>
    </row>
    <row r="108" spans="25:25" x14ac:dyDescent="0.15">
      <c r="Y108" s="30"/>
    </row>
    <row r="109" spans="25:25" x14ac:dyDescent="0.15">
      <c r="Y109" s="30"/>
    </row>
    <row r="110" spans="25:25" x14ac:dyDescent="0.15">
      <c r="Y110" s="30"/>
    </row>
    <row r="111" spans="25:25" x14ac:dyDescent="0.15">
      <c r="Y111" s="30"/>
    </row>
    <row r="112" spans="25:25" x14ac:dyDescent="0.15">
      <c r="Y112" s="30"/>
    </row>
    <row r="113" spans="1:25" x14ac:dyDescent="0.15">
      <c r="Y113" s="30"/>
    </row>
    <row r="114" spans="1:25" x14ac:dyDescent="0.15">
      <c r="Y114" s="30"/>
    </row>
    <row r="115" spans="1:25" ht="13.5" customHeight="1" x14ac:dyDescent="0.15">
      <c r="Y115" s="30"/>
    </row>
    <row r="116" spans="1:25" ht="13.5" customHeight="1" x14ac:dyDescent="0.15">
      <c r="Y116" s="30"/>
    </row>
    <row r="117" spans="1:25" x14ac:dyDescent="0.15">
      <c r="Y117" s="30"/>
    </row>
    <row r="118" spans="1:25" x14ac:dyDescent="0.15">
      <c r="Y118" s="30"/>
    </row>
    <row r="119" spans="1:25" x14ac:dyDescent="0.15">
      <c r="Y119" s="30"/>
    </row>
    <row r="120" spans="1:25" ht="12.75" customHeight="1" x14ac:dyDescent="0.15">
      <c r="Y120" s="30"/>
    </row>
    <row r="121" spans="1:25" ht="12.75" customHeight="1" x14ac:dyDescent="0.15">
      <c r="Y121" s="30"/>
    </row>
    <row r="122" spans="1:25" ht="12.75" customHeight="1" x14ac:dyDescent="0.15">
      <c r="Y122" s="30"/>
    </row>
    <row r="123" spans="1:25" x14ac:dyDescent="0.15">
      <c r="Y123" s="30"/>
    </row>
    <row r="124" spans="1:25" x14ac:dyDescent="0.15">
      <c r="Y124" s="30"/>
    </row>
    <row r="125" spans="1:25" x14ac:dyDescent="0.15">
      <c r="Y125" s="30"/>
    </row>
    <row r="126" spans="1:25" x14ac:dyDescent="0.15">
      <c r="D126" s="30"/>
      <c r="E126" s="30"/>
      <c r="F126" s="30"/>
      <c r="G126" s="30"/>
      <c r="H126" s="30"/>
      <c r="I126" s="30"/>
      <c r="J126" s="30"/>
      <c r="K126" s="30"/>
      <c r="L126" s="30"/>
      <c r="M126" s="30"/>
      <c r="N126" s="178"/>
      <c r="O126" s="178"/>
      <c r="P126" s="178"/>
      <c r="Q126" s="178"/>
      <c r="R126" s="178"/>
      <c r="S126" s="178"/>
      <c r="T126" s="178"/>
      <c r="U126" s="178"/>
      <c r="V126" s="178"/>
      <c r="W126" s="178"/>
      <c r="X126" s="178"/>
      <c r="Y126" s="30"/>
    </row>
    <row r="127" spans="1:25" x14ac:dyDescent="0.15">
      <c r="A127" s="134"/>
      <c r="D127" s="30"/>
      <c r="E127" s="30"/>
      <c r="F127" s="30"/>
      <c r="G127" s="30"/>
      <c r="H127" s="30"/>
      <c r="I127" s="30"/>
      <c r="J127" s="30"/>
      <c r="K127" s="30"/>
      <c r="L127" s="30"/>
      <c r="M127" s="30"/>
      <c r="N127" s="178"/>
      <c r="O127" s="178"/>
      <c r="P127" s="178"/>
      <c r="Q127" s="178"/>
      <c r="R127" s="178"/>
      <c r="S127" s="178"/>
      <c r="T127" s="178"/>
      <c r="U127" s="178"/>
      <c r="V127" s="178"/>
      <c r="W127" s="178"/>
      <c r="X127" s="178"/>
      <c r="Y127" s="30"/>
    </row>
    <row r="128" spans="1:25" x14ac:dyDescent="0.15">
      <c r="A128" s="134"/>
      <c r="B128" s="208"/>
      <c r="D128" s="30"/>
      <c r="E128" s="30"/>
      <c r="F128" s="30"/>
      <c r="G128" s="30"/>
      <c r="H128" s="30"/>
      <c r="I128" s="30"/>
      <c r="J128" s="30"/>
      <c r="K128" s="30"/>
      <c r="L128" s="30"/>
      <c r="M128" s="30"/>
      <c r="N128" s="178"/>
      <c r="O128" s="178"/>
      <c r="P128" s="178"/>
      <c r="Q128" s="178"/>
      <c r="R128" s="178"/>
      <c r="S128" s="178"/>
      <c r="T128" s="178"/>
      <c r="U128" s="178"/>
      <c r="V128" s="178"/>
      <c r="W128" s="178"/>
      <c r="X128" s="178"/>
      <c r="Y128" s="30"/>
    </row>
    <row r="129" spans="4:25" x14ac:dyDescent="0.15">
      <c r="D129" s="30"/>
      <c r="E129" s="30"/>
      <c r="F129" s="30"/>
      <c r="G129" s="30"/>
      <c r="H129" s="30"/>
      <c r="I129" s="30"/>
      <c r="J129" s="30"/>
      <c r="K129" s="30"/>
      <c r="L129" s="30"/>
      <c r="M129" s="30"/>
      <c r="N129" s="178"/>
      <c r="O129" s="178"/>
      <c r="P129" s="178"/>
      <c r="Q129" s="178"/>
      <c r="R129" s="178"/>
      <c r="S129" s="178"/>
      <c r="T129" s="178"/>
      <c r="U129" s="178"/>
      <c r="V129" s="178"/>
      <c r="W129" s="178"/>
      <c r="X129" s="178"/>
      <c r="Y129" s="30"/>
    </row>
    <row r="130" spans="4:25" x14ac:dyDescent="0.15">
      <c r="D130" s="30"/>
      <c r="E130" s="30"/>
      <c r="F130" s="30"/>
      <c r="G130" s="30"/>
      <c r="H130" s="30"/>
      <c r="I130" s="30"/>
      <c r="J130" s="30"/>
      <c r="K130" s="30"/>
      <c r="L130" s="30"/>
      <c r="M130" s="30"/>
      <c r="N130" s="178"/>
      <c r="O130" s="178"/>
      <c r="P130" s="178"/>
      <c r="Q130" s="178"/>
      <c r="R130" s="178"/>
      <c r="S130" s="178"/>
      <c r="T130" s="178"/>
      <c r="U130" s="178"/>
      <c r="V130" s="178"/>
      <c r="W130" s="178"/>
      <c r="X130" s="178"/>
      <c r="Y130" s="30"/>
    </row>
    <row r="131" spans="4:25" x14ac:dyDescent="0.15">
      <c r="D131" s="30"/>
      <c r="E131" s="30"/>
      <c r="F131" s="30"/>
      <c r="G131" s="30"/>
      <c r="H131" s="30"/>
      <c r="I131" s="30"/>
      <c r="J131" s="30"/>
      <c r="K131" s="30"/>
      <c r="L131" s="30"/>
      <c r="M131" s="30"/>
      <c r="N131" s="178"/>
      <c r="O131" s="178"/>
      <c r="P131" s="178"/>
      <c r="Q131" s="178"/>
      <c r="R131" s="178"/>
      <c r="S131" s="178"/>
      <c r="T131" s="178"/>
      <c r="U131" s="178"/>
      <c r="V131" s="178"/>
      <c r="W131" s="178"/>
      <c r="X131" s="178"/>
      <c r="Y131" s="30"/>
    </row>
  </sheetData>
  <mergeCells count="14">
    <mergeCell ref="R70:S70"/>
    <mergeCell ref="R45:S45"/>
    <mergeCell ref="D7:M7"/>
    <mergeCell ref="O7:X7"/>
    <mergeCell ref="B9:B12"/>
    <mergeCell ref="B13:B18"/>
    <mergeCell ref="B19:B21"/>
    <mergeCell ref="A7:A28"/>
    <mergeCell ref="A29:A37"/>
    <mergeCell ref="B24:B25"/>
    <mergeCell ref="B22:B23"/>
    <mergeCell ref="B27:B28"/>
    <mergeCell ref="B32:B34"/>
    <mergeCell ref="B35:B37"/>
  </mergeCells>
  <phoneticPr fontId="3" type="noConversion"/>
  <conditionalFormatting sqref="C9:C12">
    <cfRule type="expression" dxfId="12" priority="26">
      <formula>#REF!="Yes"</formula>
    </cfRule>
  </conditionalFormatting>
  <conditionalFormatting sqref="C9:C12">
    <cfRule type="expression" dxfId="11" priority="25">
      <formula>#REF!="No"</formula>
    </cfRule>
  </conditionalFormatting>
  <conditionalFormatting sqref="C9:C12">
    <cfRule type="expression" dxfId="10" priority="24">
      <formula>#REF!="Yes"</formula>
    </cfRule>
  </conditionalFormatting>
  <conditionalFormatting sqref="D35:N36 F33:N33 X33 X35:X37 D34:L34 D37:W37 F22:L32 D22:E33 D8:L21">
    <cfRule type="expression" dxfId="9" priority="109">
      <formula>D$8=-1</formula>
    </cfRule>
  </conditionalFormatting>
  <conditionalFormatting sqref="O35:W37 O33:W33 G37:K37">
    <cfRule type="expression" dxfId="8" priority="3">
      <formula>G$8=-1</formula>
    </cfRule>
  </conditionalFormatting>
  <conditionalFormatting sqref="D34:K34 L9:X37 D37:K37">
    <cfRule type="containsErrors" dxfId="7" priority="143">
      <formula>ISERROR(D9)</formula>
    </cfRule>
  </conditionalFormatting>
  <pageMargins left="0.75" right="0.75" top="1" bottom="1" header="0.5" footer="0.5"/>
  <pageSetup scale="56"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42" id="{E2ACC4A9-87BE-4089-BEA9-3E1698674884}">
            <xm:f>F$8&gt;SUPPORT!$D$38</xm:f>
            <x14:dxf>
              <fill>
                <patternFill>
                  <bgColor theme="0" tint="-0.14996795556505021"/>
                </patternFill>
              </fill>
            </x14:dxf>
          </x14:cfRule>
          <xm:sqref>N8:X37 F37:K37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0"/>
    <pageSetUpPr fitToPage="1"/>
  </sheetPr>
  <dimension ref="A1:W66"/>
  <sheetViews>
    <sheetView workbookViewId="0"/>
  </sheetViews>
  <sheetFormatPr baseColWidth="10" defaultColWidth="8.83203125" defaultRowHeight="13" outlineLevelRow="1" x14ac:dyDescent="0.15"/>
  <cols>
    <col min="1" max="1" width="6.83203125" style="30" customWidth="1"/>
    <col min="2" max="2" width="3.83203125" style="30" customWidth="1"/>
    <col min="3" max="3" width="28.83203125" style="30" bestFit="1" customWidth="1"/>
    <col min="4" max="4" width="8.83203125" style="30" customWidth="1"/>
    <col min="5" max="5" width="9.83203125" style="30" customWidth="1"/>
    <col min="6" max="6" width="12.83203125" style="30" customWidth="1"/>
    <col min="7" max="11" width="8.83203125" style="30"/>
    <col min="12" max="12" width="10.1640625" style="30" bestFit="1" customWidth="1"/>
    <col min="13" max="250" width="8.83203125" style="30"/>
    <col min="251" max="252" width="3.83203125" style="30" customWidth="1"/>
    <col min="253" max="253" width="28.83203125" style="30" bestFit="1" customWidth="1"/>
    <col min="254" max="255" width="8.33203125" style="30" customWidth="1"/>
    <col min="256" max="261" width="8.83203125" style="30"/>
    <col min="262" max="262" width="10.1640625" style="30" bestFit="1" customWidth="1"/>
    <col min="263" max="506" width="8.83203125" style="30"/>
    <col min="507" max="508" width="3.83203125" style="30" customWidth="1"/>
    <col min="509" max="509" width="28.83203125" style="30" bestFit="1" customWidth="1"/>
    <col min="510" max="511" width="8.33203125" style="30" customWidth="1"/>
    <col min="512" max="517" width="8.83203125" style="30"/>
    <col min="518" max="518" width="10.1640625" style="30" bestFit="1" customWidth="1"/>
    <col min="519" max="762" width="8.83203125" style="30"/>
    <col min="763" max="764" width="3.83203125" style="30" customWidth="1"/>
    <col min="765" max="765" width="28.83203125" style="30" bestFit="1" customWidth="1"/>
    <col min="766" max="767" width="8.33203125" style="30" customWidth="1"/>
    <col min="768" max="773" width="8.83203125" style="30"/>
    <col min="774" max="774" width="10.1640625" style="30" bestFit="1" customWidth="1"/>
    <col min="775" max="1018" width="8.83203125" style="30"/>
    <col min="1019" max="1020" width="3.83203125" style="30" customWidth="1"/>
    <col min="1021" max="1021" width="28.83203125" style="30" bestFit="1" customWidth="1"/>
    <col min="1022" max="1023" width="8.33203125" style="30" customWidth="1"/>
    <col min="1024" max="1029" width="8.83203125" style="30"/>
    <col min="1030" max="1030" width="10.1640625" style="30" bestFit="1" customWidth="1"/>
    <col min="1031" max="1274" width="8.83203125" style="30"/>
    <col min="1275" max="1276" width="3.83203125" style="30" customWidth="1"/>
    <col min="1277" max="1277" width="28.83203125" style="30" bestFit="1" customWidth="1"/>
    <col min="1278" max="1279" width="8.33203125" style="30" customWidth="1"/>
    <col min="1280" max="1285" width="8.83203125" style="30"/>
    <col min="1286" max="1286" width="10.1640625" style="30" bestFit="1" customWidth="1"/>
    <col min="1287" max="1530" width="8.83203125" style="30"/>
    <col min="1531" max="1532" width="3.83203125" style="30" customWidth="1"/>
    <col min="1533" max="1533" width="28.83203125" style="30" bestFit="1" customWidth="1"/>
    <col min="1534" max="1535" width="8.33203125" style="30" customWidth="1"/>
    <col min="1536" max="1541" width="8.83203125" style="30"/>
    <col min="1542" max="1542" width="10.1640625" style="30" bestFit="1" customWidth="1"/>
    <col min="1543" max="1786" width="8.83203125" style="30"/>
    <col min="1787" max="1788" width="3.83203125" style="30" customWidth="1"/>
    <col min="1789" max="1789" width="28.83203125" style="30" bestFit="1" customWidth="1"/>
    <col min="1790" max="1791" width="8.33203125" style="30" customWidth="1"/>
    <col min="1792" max="1797" width="8.83203125" style="30"/>
    <col min="1798" max="1798" width="10.1640625" style="30" bestFit="1" customWidth="1"/>
    <col min="1799" max="2042" width="8.83203125" style="30"/>
    <col min="2043" max="2044" width="3.83203125" style="30" customWidth="1"/>
    <col min="2045" max="2045" width="28.83203125" style="30" bestFit="1" customWidth="1"/>
    <col min="2046" max="2047" width="8.33203125" style="30" customWidth="1"/>
    <col min="2048" max="2053" width="8.83203125" style="30"/>
    <col min="2054" max="2054" width="10.1640625" style="30" bestFit="1" customWidth="1"/>
    <col min="2055" max="2298" width="8.83203125" style="30"/>
    <col min="2299" max="2300" width="3.83203125" style="30" customWidth="1"/>
    <col min="2301" max="2301" width="28.83203125" style="30" bestFit="1" customWidth="1"/>
    <col min="2302" max="2303" width="8.33203125" style="30" customWidth="1"/>
    <col min="2304" max="2309" width="8.83203125" style="30"/>
    <col min="2310" max="2310" width="10.1640625" style="30" bestFit="1" customWidth="1"/>
    <col min="2311" max="2554" width="8.83203125" style="30"/>
    <col min="2555" max="2556" width="3.83203125" style="30" customWidth="1"/>
    <col min="2557" max="2557" width="28.83203125" style="30" bestFit="1" customWidth="1"/>
    <col min="2558" max="2559" width="8.33203125" style="30" customWidth="1"/>
    <col min="2560" max="2565" width="8.83203125" style="30"/>
    <col min="2566" max="2566" width="10.1640625" style="30" bestFit="1" customWidth="1"/>
    <col min="2567" max="2810" width="8.83203125" style="30"/>
    <col min="2811" max="2812" width="3.83203125" style="30" customWidth="1"/>
    <col min="2813" max="2813" width="28.83203125" style="30" bestFit="1" customWidth="1"/>
    <col min="2814" max="2815" width="8.33203125" style="30" customWidth="1"/>
    <col min="2816" max="2821" width="8.83203125" style="30"/>
    <col min="2822" max="2822" width="10.1640625" style="30" bestFit="1" customWidth="1"/>
    <col min="2823" max="3066" width="8.83203125" style="30"/>
    <col min="3067" max="3068" width="3.83203125" style="30" customWidth="1"/>
    <col min="3069" max="3069" width="28.83203125" style="30" bestFit="1" customWidth="1"/>
    <col min="3070" max="3071" width="8.33203125" style="30" customWidth="1"/>
    <col min="3072" max="3077" width="8.83203125" style="30"/>
    <col min="3078" max="3078" width="10.1640625" style="30" bestFit="1" customWidth="1"/>
    <col min="3079" max="3322" width="8.83203125" style="30"/>
    <col min="3323" max="3324" width="3.83203125" style="30" customWidth="1"/>
    <col min="3325" max="3325" width="28.83203125" style="30" bestFit="1" customWidth="1"/>
    <col min="3326" max="3327" width="8.33203125" style="30" customWidth="1"/>
    <col min="3328" max="3333" width="8.83203125" style="30"/>
    <col min="3334" max="3334" width="10.1640625" style="30" bestFit="1" customWidth="1"/>
    <col min="3335" max="3578" width="8.83203125" style="30"/>
    <col min="3579" max="3580" width="3.83203125" style="30" customWidth="1"/>
    <col min="3581" max="3581" width="28.83203125" style="30" bestFit="1" customWidth="1"/>
    <col min="3582" max="3583" width="8.33203125" style="30" customWidth="1"/>
    <col min="3584" max="3589" width="8.83203125" style="30"/>
    <col min="3590" max="3590" width="10.1640625" style="30" bestFit="1" customWidth="1"/>
    <col min="3591" max="3834" width="8.83203125" style="30"/>
    <col min="3835" max="3836" width="3.83203125" style="30" customWidth="1"/>
    <col min="3837" max="3837" width="28.83203125" style="30" bestFit="1" customWidth="1"/>
    <col min="3838" max="3839" width="8.33203125" style="30" customWidth="1"/>
    <col min="3840" max="3845" width="8.83203125" style="30"/>
    <col min="3846" max="3846" width="10.1640625" style="30" bestFit="1" customWidth="1"/>
    <col min="3847" max="4090" width="8.83203125" style="30"/>
    <col min="4091" max="4092" width="3.83203125" style="30" customWidth="1"/>
    <col min="4093" max="4093" width="28.83203125" style="30" bestFit="1" customWidth="1"/>
    <col min="4094" max="4095" width="8.33203125" style="30" customWidth="1"/>
    <col min="4096" max="4101" width="8.83203125" style="30"/>
    <col min="4102" max="4102" width="10.1640625" style="30" bestFit="1" customWidth="1"/>
    <col min="4103" max="4346" width="8.83203125" style="30"/>
    <col min="4347" max="4348" width="3.83203125" style="30" customWidth="1"/>
    <col min="4349" max="4349" width="28.83203125" style="30" bestFit="1" customWidth="1"/>
    <col min="4350" max="4351" width="8.33203125" style="30" customWidth="1"/>
    <col min="4352" max="4357" width="8.83203125" style="30"/>
    <col min="4358" max="4358" width="10.1640625" style="30" bestFit="1" customWidth="1"/>
    <col min="4359" max="4602" width="8.83203125" style="30"/>
    <col min="4603" max="4604" width="3.83203125" style="30" customWidth="1"/>
    <col min="4605" max="4605" width="28.83203125" style="30" bestFit="1" customWidth="1"/>
    <col min="4606" max="4607" width="8.33203125" style="30" customWidth="1"/>
    <col min="4608" max="4613" width="8.83203125" style="30"/>
    <col min="4614" max="4614" width="10.1640625" style="30" bestFit="1" customWidth="1"/>
    <col min="4615" max="4858" width="8.83203125" style="30"/>
    <col min="4859" max="4860" width="3.83203125" style="30" customWidth="1"/>
    <col min="4861" max="4861" width="28.83203125" style="30" bestFit="1" customWidth="1"/>
    <col min="4862" max="4863" width="8.33203125" style="30" customWidth="1"/>
    <col min="4864" max="4869" width="8.83203125" style="30"/>
    <col min="4870" max="4870" width="10.1640625" style="30" bestFit="1" customWidth="1"/>
    <col min="4871" max="5114" width="8.83203125" style="30"/>
    <col min="5115" max="5116" width="3.83203125" style="30" customWidth="1"/>
    <col min="5117" max="5117" width="28.83203125" style="30" bestFit="1" customWidth="1"/>
    <col min="5118" max="5119" width="8.33203125" style="30" customWidth="1"/>
    <col min="5120" max="5125" width="8.83203125" style="30"/>
    <col min="5126" max="5126" width="10.1640625" style="30" bestFit="1" customWidth="1"/>
    <col min="5127" max="5370" width="8.83203125" style="30"/>
    <col min="5371" max="5372" width="3.83203125" style="30" customWidth="1"/>
    <col min="5373" max="5373" width="28.83203125" style="30" bestFit="1" customWidth="1"/>
    <col min="5374" max="5375" width="8.33203125" style="30" customWidth="1"/>
    <col min="5376" max="5381" width="8.83203125" style="30"/>
    <col min="5382" max="5382" width="10.1640625" style="30" bestFit="1" customWidth="1"/>
    <col min="5383" max="5626" width="8.83203125" style="30"/>
    <col min="5627" max="5628" width="3.83203125" style="30" customWidth="1"/>
    <col min="5629" max="5629" width="28.83203125" style="30" bestFit="1" customWidth="1"/>
    <col min="5630" max="5631" width="8.33203125" style="30" customWidth="1"/>
    <col min="5632" max="5637" width="8.83203125" style="30"/>
    <col min="5638" max="5638" width="10.1640625" style="30" bestFit="1" customWidth="1"/>
    <col min="5639" max="5882" width="8.83203125" style="30"/>
    <col min="5883" max="5884" width="3.83203125" style="30" customWidth="1"/>
    <col min="5885" max="5885" width="28.83203125" style="30" bestFit="1" customWidth="1"/>
    <col min="5886" max="5887" width="8.33203125" style="30" customWidth="1"/>
    <col min="5888" max="5893" width="8.83203125" style="30"/>
    <col min="5894" max="5894" width="10.1640625" style="30" bestFit="1" customWidth="1"/>
    <col min="5895" max="6138" width="8.83203125" style="30"/>
    <col min="6139" max="6140" width="3.83203125" style="30" customWidth="1"/>
    <col min="6141" max="6141" width="28.83203125" style="30" bestFit="1" customWidth="1"/>
    <col min="6142" max="6143" width="8.33203125" style="30" customWidth="1"/>
    <col min="6144" max="6149" width="8.83203125" style="30"/>
    <col min="6150" max="6150" width="10.1640625" style="30" bestFit="1" customWidth="1"/>
    <col min="6151" max="6394" width="8.83203125" style="30"/>
    <col min="6395" max="6396" width="3.83203125" style="30" customWidth="1"/>
    <col min="6397" max="6397" width="28.83203125" style="30" bestFit="1" customWidth="1"/>
    <col min="6398" max="6399" width="8.33203125" style="30" customWidth="1"/>
    <col min="6400" max="6405" width="8.83203125" style="30"/>
    <col min="6406" max="6406" width="10.1640625" style="30" bestFit="1" customWidth="1"/>
    <col min="6407" max="6650" width="8.83203125" style="30"/>
    <col min="6651" max="6652" width="3.83203125" style="30" customWidth="1"/>
    <col min="6653" max="6653" width="28.83203125" style="30" bestFit="1" customWidth="1"/>
    <col min="6654" max="6655" width="8.33203125" style="30" customWidth="1"/>
    <col min="6656" max="6661" width="8.83203125" style="30"/>
    <col min="6662" max="6662" width="10.1640625" style="30" bestFit="1" customWidth="1"/>
    <col min="6663" max="6906" width="8.83203125" style="30"/>
    <col min="6907" max="6908" width="3.83203125" style="30" customWidth="1"/>
    <col min="6909" max="6909" width="28.83203125" style="30" bestFit="1" customWidth="1"/>
    <col min="6910" max="6911" width="8.33203125" style="30" customWidth="1"/>
    <col min="6912" max="6917" width="8.83203125" style="30"/>
    <col min="6918" max="6918" width="10.1640625" style="30" bestFit="1" customWidth="1"/>
    <col min="6919" max="7162" width="8.83203125" style="30"/>
    <col min="7163" max="7164" width="3.83203125" style="30" customWidth="1"/>
    <col min="7165" max="7165" width="28.83203125" style="30" bestFit="1" customWidth="1"/>
    <col min="7166" max="7167" width="8.33203125" style="30" customWidth="1"/>
    <col min="7168" max="7173" width="8.83203125" style="30"/>
    <col min="7174" max="7174" width="10.1640625" style="30" bestFit="1" customWidth="1"/>
    <col min="7175" max="7418" width="8.83203125" style="30"/>
    <col min="7419" max="7420" width="3.83203125" style="30" customWidth="1"/>
    <col min="7421" max="7421" width="28.83203125" style="30" bestFit="1" customWidth="1"/>
    <col min="7422" max="7423" width="8.33203125" style="30" customWidth="1"/>
    <col min="7424" max="7429" width="8.83203125" style="30"/>
    <col min="7430" max="7430" width="10.1640625" style="30" bestFit="1" customWidth="1"/>
    <col min="7431" max="7674" width="8.83203125" style="30"/>
    <col min="7675" max="7676" width="3.83203125" style="30" customWidth="1"/>
    <col min="7677" max="7677" width="28.83203125" style="30" bestFit="1" customWidth="1"/>
    <col min="7678" max="7679" width="8.33203125" style="30" customWidth="1"/>
    <col min="7680" max="7685" width="8.83203125" style="30"/>
    <col min="7686" max="7686" width="10.1640625" style="30" bestFit="1" customWidth="1"/>
    <col min="7687" max="7930" width="8.83203125" style="30"/>
    <col min="7931" max="7932" width="3.83203125" style="30" customWidth="1"/>
    <col min="7933" max="7933" width="28.83203125" style="30" bestFit="1" customWidth="1"/>
    <col min="7934" max="7935" width="8.33203125" style="30" customWidth="1"/>
    <col min="7936" max="7941" width="8.83203125" style="30"/>
    <col min="7942" max="7942" width="10.1640625" style="30" bestFit="1" customWidth="1"/>
    <col min="7943" max="8186" width="8.83203125" style="30"/>
    <col min="8187" max="8188" width="3.83203125" style="30" customWidth="1"/>
    <col min="8189" max="8189" width="28.83203125" style="30" bestFit="1" customWidth="1"/>
    <col min="8190" max="8191" width="8.33203125" style="30" customWidth="1"/>
    <col min="8192" max="8197" width="8.83203125" style="30"/>
    <col min="8198" max="8198" width="10.1640625" style="30" bestFit="1" customWidth="1"/>
    <col min="8199" max="8442" width="8.83203125" style="30"/>
    <col min="8443" max="8444" width="3.83203125" style="30" customWidth="1"/>
    <col min="8445" max="8445" width="28.83203125" style="30" bestFit="1" customWidth="1"/>
    <col min="8446" max="8447" width="8.33203125" style="30" customWidth="1"/>
    <col min="8448" max="8453" width="8.83203125" style="30"/>
    <col min="8454" max="8454" width="10.1640625" style="30" bestFit="1" customWidth="1"/>
    <col min="8455" max="8698" width="8.83203125" style="30"/>
    <col min="8699" max="8700" width="3.83203125" style="30" customWidth="1"/>
    <col min="8701" max="8701" width="28.83203125" style="30" bestFit="1" customWidth="1"/>
    <col min="8702" max="8703" width="8.33203125" style="30" customWidth="1"/>
    <col min="8704" max="8709" width="8.83203125" style="30"/>
    <col min="8710" max="8710" width="10.1640625" style="30" bestFit="1" customWidth="1"/>
    <col min="8711" max="8954" width="8.83203125" style="30"/>
    <col min="8955" max="8956" width="3.83203125" style="30" customWidth="1"/>
    <col min="8957" max="8957" width="28.83203125" style="30" bestFit="1" customWidth="1"/>
    <col min="8958" max="8959" width="8.33203125" style="30" customWidth="1"/>
    <col min="8960" max="8965" width="8.83203125" style="30"/>
    <col min="8966" max="8966" width="10.1640625" style="30" bestFit="1" customWidth="1"/>
    <col min="8967" max="9210" width="8.83203125" style="30"/>
    <col min="9211" max="9212" width="3.83203125" style="30" customWidth="1"/>
    <col min="9213" max="9213" width="28.83203125" style="30" bestFit="1" customWidth="1"/>
    <col min="9214" max="9215" width="8.33203125" style="30" customWidth="1"/>
    <col min="9216" max="9221" width="8.83203125" style="30"/>
    <col min="9222" max="9222" width="10.1640625" style="30" bestFit="1" customWidth="1"/>
    <col min="9223" max="9466" width="8.83203125" style="30"/>
    <col min="9467" max="9468" width="3.83203125" style="30" customWidth="1"/>
    <col min="9469" max="9469" width="28.83203125" style="30" bestFit="1" customWidth="1"/>
    <col min="9470" max="9471" width="8.33203125" style="30" customWidth="1"/>
    <col min="9472" max="9477" width="8.83203125" style="30"/>
    <col min="9478" max="9478" width="10.1640625" style="30" bestFit="1" customWidth="1"/>
    <col min="9479" max="9722" width="8.83203125" style="30"/>
    <col min="9723" max="9724" width="3.83203125" style="30" customWidth="1"/>
    <col min="9725" max="9725" width="28.83203125" style="30" bestFit="1" customWidth="1"/>
    <col min="9726" max="9727" width="8.33203125" style="30" customWidth="1"/>
    <col min="9728" max="9733" width="8.83203125" style="30"/>
    <col min="9734" max="9734" width="10.1640625" style="30" bestFit="1" customWidth="1"/>
    <col min="9735" max="9978" width="8.83203125" style="30"/>
    <col min="9979" max="9980" width="3.83203125" style="30" customWidth="1"/>
    <col min="9981" max="9981" width="28.83203125" style="30" bestFit="1" customWidth="1"/>
    <col min="9982" max="9983" width="8.33203125" style="30" customWidth="1"/>
    <col min="9984" max="9989" width="8.83203125" style="30"/>
    <col min="9990" max="9990" width="10.1640625" style="30" bestFit="1" customWidth="1"/>
    <col min="9991" max="10234" width="8.83203125" style="30"/>
    <col min="10235" max="10236" width="3.83203125" style="30" customWidth="1"/>
    <col min="10237" max="10237" width="28.83203125" style="30" bestFit="1" customWidth="1"/>
    <col min="10238" max="10239" width="8.33203125" style="30" customWidth="1"/>
    <col min="10240" max="10245" width="8.83203125" style="30"/>
    <col min="10246" max="10246" width="10.1640625" style="30" bestFit="1" customWidth="1"/>
    <col min="10247" max="10490" width="8.83203125" style="30"/>
    <col min="10491" max="10492" width="3.83203125" style="30" customWidth="1"/>
    <col min="10493" max="10493" width="28.83203125" style="30" bestFit="1" customWidth="1"/>
    <col min="10494" max="10495" width="8.33203125" style="30" customWidth="1"/>
    <col min="10496" max="10501" width="8.83203125" style="30"/>
    <col min="10502" max="10502" width="10.1640625" style="30" bestFit="1" customWidth="1"/>
    <col min="10503" max="10746" width="8.83203125" style="30"/>
    <col min="10747" max="10748" width="3.83203125" style="30" customWidth="1"/>
    <col min="10749" max="10749" width="28.83203125" style="30" bestFit="1" customWidth="1"/>
    <col min="10750" max="10751" width="8.33203125" style="30" customWidth="1"/>
    <col min="10752" max="10757" width="8.83203125" style="30"/>
    <col min="10758" max="10758" width="10.1640625" style="30" bestFit="1" customWidth="1"/>
    <col min="10759" max="11002" width="8.83203125" style="30"/>
    <col min="11003" max="11004" width="3.83203125" style="30" customWidth="1"/>
    <col min="11005" max="11005" width="28.83203125" style="30" bestFit="1" customWidth="1"/>
    <col min="11006" max="11007" width="8.33203125" style="30" customWidth="1"/>
    <col min="11008" max="11013" width="8.83203125" style="30"/>
    <col min="11014" max="11014" width="10.1640625" style="30" bestFit="1" customWidth="1"/>
    <col min="11015" max="11258" width="8.83203125" style="30"/>
    <col min="11259" max="11260" width="3.83203125" style="30" customWidth="1"/>
    <col min="11261" max="11261" width="28.83203125" style="30" bestFit="1" customWidth="1"/>
    <col min="11262" max="11263" width="8.33203125" style="30" customWidth="1"/>
    <col min="11264" max="11269" width="8.83203125" style="30"/>
    <col min="11270" max="11270" width="10.1640625" style="30" bestFit="1" customWidth="1"/>
    <col min="11271" max="11514" width="8.83203125" style="30"/>
    <col min="11515" max="11516" width="3.83203125" style="30" customWidth="1"/>
    <col min="11517" max="11517" width="28.83203125" style="30" bestFit="1" customWidth="1"/>
    <col min="11518" max="11519" width="8.33203125" style="30" customWidth="1"/>
    <col min="11520" max="11525" width="8.83203125" style="30"/>
    <col min="11526" max="11526" width="10.1640625" style="30" bestFit="1" customWidth="1"/>
    <col min="11527" max="11770" width="8.83203125" style="30"/>
    <col min="11771" max="11772" width="3.83203125" style="30" customWidth="1"/>
    <col min="11773" max="11773" width="28.83203125" style="30" bestFit="1" customWidth="1"/>
    <col min="11774" max="11775" width="8.33203125" style="30" customWidth="1"/>
    <col min="11776" max="11781" width="8.83203125" style="30"/>
    <col min="11782" max="11782" width="10.1640625" style="30" bestFit="1" customWidth="1"/>
    <col min="11783" max="12026" width="8.83203125" style="30"/>
    <col min="12027" max="12028" width="3.83203125" style="30" customWidth="1"/>
    <col min="12029" max="12029" width="28.83203125" style="30" bestFit="1" customWidth="1"/>
    <col min="12030" max="12031" width="8.33203125" style="30" customWidth="1"/>
    <col min="12032" max="12037" width="8.83203125" style="30"/>
    <col min="12038" max="12038" width="10.1640625" style="30" bestFit="1" customWidth="1"/>
    <col min="12039" max="12282" width="8.83203125" style="30"/>
    <col min="12283" max="12284" width="3.83203125" style="30" customWidth="1"/>
    <col min="12285" max="12285" width="28.83203125" style="30" bestFit="1" customWidth="1"/>
    <col min="12286" max="12287" width="8.33203125" style="30" customWidth="1"/>
    <col min="12288" max="12293" width="8.83203125" style="30"/>
    <col min="12294" max="12294" width="10.1640625" style="30" bestFit="1" customWidth="1"/>
    <col min="12295" max="12538" width="8.83203125" style="30"/>
    <col min="12539" max="12540" width="3.83203125" style="30" customWidth="1"/>
    <col min="12541" max="12541" width="28.83203125" style="30" bestFit="1" customWidth="1"/>
    <col min="12542" max="12543" width="8.33203125" style="30" customWidth="1"/>
    <col min="12544" max="12549" width="8.83203125" style="30"/>
    <col min="12550" max="12550" width="10.1640625" style="30" bestFit="1" customWidth="1"/>
    <col min="12551" max="12794" width="8.83203125" style="30"/>
    <col min="12795" max="12796" width="3.83203125" style="30" customWidth="1"/>
    <col min="12797" max="12797" width="28.83203125" style="30" bestFit="1" customWidth="1"/>
    <col min="12798" max="12799" width="8.33203125" style="30" customWidth="1"/>
    <col min="12800" max="12805" width="8.83203125" style="30"/>
    <col min="12806" max="12806" width="10.1640625" style="30" bestFit="1" customWidth="1"/>
    <col min="12807" max="13050" width="8.83203125" style="30"/>
    <col min="13051" max="13052" width="3.83203125" style="30" customWidth="1"/>
    <col min="13053" max="13053" width="28.83203125" style="30" bestFit="1" customWidth="1"/>
    <col min="13054" max="13055" width="8.33203125" style="30" customWidth="1"/>
    <col min="13056" max="13061" width="8.83203125" style="30"/>
    <col min="13062" max="13062" width="10.1640625" style="30" bestFit="1" customWidth="1"/>
    <col min="13063" max="13306" width="8.83203125" style="30"/>
    <col min="13307" max="13308" width="3.83203125" style="30" customWidth="1"/>
    <col min="13309" max="13309" width="28.83203125" style="30" bestFit="1" customWidth="1"/>
    <col min="13310" max="13311" width="8.33203125" style="30" customWidth="1"/>
    <col min="13312" max="13317" width="8.83203125" style="30"/>
    <col min="13318" max="13318" width="10.1640625" style="30" bestFit="1" customWidth="1"/>
    <col min="13319" max="13562" width="8.83203125" style="30"/>
    <col min="13563" max="13564" width="3.83203125" style="30" customWidth="1"/>
    <col min="13565" max="13565" width="28.83203125" style="30" bestFit="1" customWidth="1"/>
    <col min="13566" max="13567" width="8.33203125" style="30" customWidth="1"/>
    <col min="13568" max="13573" width="8.83203125" style="30"/>
    <col min="13574" max="13574" width="10.1640625" style="30" bestFit="1" customWidth="1"/>
    <col min="13575" max="13818" width="8.83203125" style="30"/>
    <col min="13819" max="13820" width="3.83203125" style="30" customWidth="1"/>
    <col min="13821" max="13821" width="28.83203125" style="30" bestFit="1" customWidth="1"/>
    <col min="13822" max="13823" width="8.33203125" style="30" customWidth="1"/>
    <col min="13824" max="13829" width="8.83203125" style="30"/>
    <col min="13830" max="13830" width="10.1640625" style="30" bestFit="1" customWidth="1"/>
    <col min="13831" max="14074" width="8.83203125" style="30"/>
    <col min="14075" max="14076" width="3.83203125" style="30" customWidth="1"/>
    <col min="14077" max="14077" width="28.83203125" style="30" bestFit="1" customWidth="1"/>
    <col min="14078" max="14079" width="8.33203125" style="30" customWidth="1"/>
    <col min="14080" max="14085" width="8.83203125" style="30"/>
    <col min="14086" max="14086" width="10.1640625" style="30" bestFit="1" customWidth="1"/>
    <col min="14087" max="14330" width="8.83203125" style="30"/>
    <col min="14331" max="14332" width="3.83203125" style="30" customWidth="1"/>
    <col min="14333" max="14333" width="28.83203125" style="30" bestFit="1" customWidth="1"/>
    <col min="14334" max="14335" width="8.33203125" style="30" customWidth="1"/>
    <col min="14336" max="14341" width="8.83203125" style="30"/>
    <col min="14342" max="14342" width="10.1640625" style="30" bestFit="1" customWidth="1"/>
    <col min="14343" max="14586" width="8.83203125" style="30"/>
    <col min="14587" max="14588" width="3.83203125" style="30" customWidth="1"/>
    <col min="14589" max="14589" width="28.83203125" style="30" bestFit="1" customWidth="1"/>
    <col min="14590" max="14591" width="8.33203125" style="30" customWidth="1"/>
    <col min="14592" max="14597" width="8.83203125" style="30"/>
    <col min="14598" max="14598" width="10.1640625" style="30" bestFit="1" customWidth="1"/>
    <col min="14599" max="14842" width="8.83203125" style="30"/>
    <col min="14843" max="14844" width="3.83203125" style="30" customWidth="1"/>
    <col min="14845" max="14845" width="28.83203125" style="30" bestFit="1" customWidth="1"/>
    <col min="14846" max="14847" width="8.33203125" style="30" customWidth="1"/>
    <col min="14848" max="14853" width="8.83203125" style="30"/>
    <col min="14854" max="14854" width="10.1640625" style="30" bestFit="1" customWidth="1"/>
    <col min="14855" max="15098" width="8.83203125" style="30"/>
    <col min="15099" max="15100" width="3.83203125" style="30" customWidth="1"/>
    <col min="15101" max="15101" width="28.83203125" style="30" bestFit="1" customWidth="1"/>
    <col min="15102" max="15103" width="8.33203125" style="30" customWidth="1"/>
    <col min="15104" max="15109" width="8.83203125" style="30"/>
    <col min="15110" max="15110" width="10.1640625" style="30" bestFit="1" customWidth="1"/>
    <col min="15111" max="15354" width="8.83203125" style="30"/>
    <col min="15355" max="15356" width="3.83203125" style="30" customWidth="1"/>
    <col min="15357" max="15357" width="28.83203125" style="30" bestFit="1" customWidth="1"/>
    <col min="15358" max="15359" width="8.33203125" style="30" customWidth="1"/>
    <col min="15360" max="15365" width="8.83203125" style="30"/>
    <col min="15366" max="15366" width="10.1640625" style="30" bestFit="1" customWidth="1"/>
    <col min="15367" max="15610" width="8.83203125" style="30"/>
    <col min="15611" max="15612" width="3.83203125" style="30" customWidth="1"/>
    <col min="15613" max="15613" width="28.83203125" style="30" bestFit="1" customWidth="1"/>
    <col min="15614" max="15615" width="8.33203125" style="30" customWidth="1"/>
    <col min="15616" max="15621" width="8.83203125" style="30"/>
    <col min="15622" max="15622" width="10.1640625" style="30" bestFit="1" customWidth="1"/>
    <col min="15623" max="15866" width="8.83203125" style="30"/>
    <col min="15867" max="15868" width="3.83203125" style="30" customWidth="1"/>
    <col min="15869" max="15869" width="28.83203125" style="30" bestFit="1" customWidth="1"/>
    <col min="15870" max="15871" width="8.33203125" style="30" customWidth="1"/>
    <col min="15872" max="15877" width="8.83203125" style="30"/>
    <col min="15878" max="15878" width="10.1640625" style="30" bestFit="1" customWidth="1"/>
    <col min="15879" max="16122" width="8.83203125" style="30"/>
    <col min="16123" max="16124" width="3.83203125" style="30" customWidth="1"/>
    <col min="16125" max="16125" width="28.83203125" style="30" bestFit="1" customWidth="1"/>
    <col min="16126" max="16127" width="8.33203125" style="30" customWidth="1"/>
    <col min="16128" max="16133" width="8.83203125" style="30"/>
    <col min="16134" max="16134" width="10.1640625" style="30" bestFit="1" customWidth="1"/>
    <col min="16135" max="16384" width="8.83203125" style="30"/>
  </cols>
  <sheetData>
    <row r="1" spans="1:21" s="4" customFormat="1" ht="19" thickBot="1" x14ac:dyDescent="0.25">
      <c r="A1" s="29"/>
      <c r="B1" s="26" t="s">
        <v>21</v>
      </c>
      <c r="C1" s="26"/>
      <c r="D1" s="27"/>
      <c r="E1" s="27"/>
      <c r="F1" s="27"/>
      <c r="G1" s="27"/>
      <c r="H1" s="5"/>
      <c r="I1" s="5"/>
      <c r="J1" s="5"/>
      <c r="K1" s="5"/>
      <c r="L1" s="5"/>
      <c r="M1" s="5"/>
      <c r="N1" s="5"/>
      <c r="O1" s="5"/>
      <c r="P1" s="5"/>
    </row>
    <row r="2" spans="1:21" s="4" customFormat="1" ht="16" x14ac:dyDescent="0.2">
      <c r="A2" s="29"/>
      <c r="B2" s="37"/>
      <c r="C2" s="37"/>
      <c r="D2" s="27"/>
      <c r="E2" s="27"/>
      <c r="F2" s="27"/>
      <c r="G2" s="27"/>
      <c r="H2" s="5"/>
      <c r="I2" s="5"/>
      <c r="J2" s="5"/>
      <c r="K2" s="5"/>
      <c r="L2" s="5"/>
      <c r="M2" s="5"/>
      <c r="N2" s="5"/>
      <c r="O2" s="5"/>
      <c r="P2" s="5"/>
    </row>
    <row r="3" spans="1:21" s="4" customFormat="1" ht="16" x14ac:dyDescent="0.2">
      <c r="A3" s="29"/>
      <c r="B3" s="5" t="s">
        <v>184</v>
      </c>
      <c r="C3" s="37"/>
      <c r="D3" s="27"/>
      <c r="E3" s="27"/>
      <c r="F3" s="27"/>
      <c r="G3" s="27"/>
      <c r="H3" s="5"/>
      <c r="I3" s="5"/>
      <c r="J3" s="5"/>
      <c r="K3" s="5"/>
      <c r="L3" s="5"/>
      <c r="M3" s="5"/>
      <c r="N3" s="5"/>
      <c r="O3" s="5"/>
      <c r="P3" s="5"/>
    </row>
    <row r="4" spans="1:21" x14ac:dyDescent="0.15">
      <c r="B4" s="5" t="s">
        <v>29</v>
      </c>
      <c r="C4" s="241"/>
    </row>
    <row r="5" spans="1:21" x14ac:dyDescent="0.15">
      <c r="B5" s="241"/>
      <c r="C5" s="241"/>
    </row>
    <row r="6" spans="1:21" s="6" customFormat="1" x14ac:dyDescent="0.15"/>
    <row r="7" spans="1:21" s="6" customFormat="1" x14ac:dyDescent="0.15">
      <c r="D7" s="56" t="s">
        <v>13</v>
      </c>
      <c r="E7" s="57" t="s">
        <v>18</v>
      </c>
    </row>
    <row r="8" spans="1:21" s="6" customFormat="1" x14ac:dyDescent="0.15">
      <c r="C8" s="58"/>
      <c r="D8" s="59">
        <f>+'I.Input Data'!M71</f>
        <v>5</v>
      </c>
      <c r="E8" s="60">
        <f>1/D8</f>
        <v>0.2</v>
      </c>
      <c r="F8" s="168">
        <f>+'I.Input Data'!F11</f>
        <v>43101</v>
      </c>
      <c r="G8" s="492" t="s">
        <v>65</v>
      </c>
      <c r="H8" s="492"/>
      <c r="I8" s="492"/>
      <c r="J8" s="492"/>
      <c r="K8" s="492"/>
      <c r="L8" s="492"/>
      <c r="M8" s="492"/>
      <c r="N8" s="492"/>
      <c r="O8" s="492"/>
      <c r="P8" s="493"/>
      <c r="Q8" s="61"/>
      <c r="R8" s="61"/>
      <c r="S8" s="61"/>
      <c r="T8" s="61"/>
      <c r="U8" s="62"/>
    </row>
    <row r="9" spans="1:21" s="6" customFormat="1" ht="18" x14ac:dyDescent="0.2">
      <c r="A9" s="63"/>
      <c r="B9" s="64"/>
      <c r="C9" s="64"/>
      <c r="D9" s="8"/>
      <c r="E9" s="8"/>
      <c r="F9" s="214">
        <v>0</v>
      </c>
      <c r="G9" s="179">
        <v>1</v>
      </c>
      <c r="H9" s="179">
        <v>2</v>
      </c>
      <c r="I9" s="179">
        <v>3</v>
      </c>
      <c r="J9" s="179">
        <v>4</v>
      </c>
      <c r="K9" s="179">
        <v>5</v>
      </c>
      <c r="L9" s="179">
        <v>6</v>
      </c>
      <c r="M9" s="179">
        <v>7</v>
      </c>
      <c r="N9" s="179">
        <v>8</v>
      </c>
      <c r="O9" s="179">
        <v>9</v>
      </c>
      <c r="P9" s="179">
        <v>10</v>
      </c>
      <c r="Q9" s="216">
        <f t="shared" ref="Q9:U9" si="0">+P9+1</f>
        <v>11</v>
      </c>
      <c r="R9" s="216">
        <f t="shared" si="0"/>
        <v>12</v>
      </c>
      <c r="S9" s="216">
        <f t="shared" si="0"/>
        <v>13</v>
      </c>
      <c r="T9" s="216">
        <f t="shared" si="0"/>
        <v>14</v>
      </c>
      <c r="U9" s="216">
        <f t="shared" si="0"/>
        <v>15</v>
      </c>
    </row>
    <row r="10" spans="1:21" s="6" customFormat="1" x14ac:dyDescent="0.15">
      <c r="B10" s="12"/>
      <c r="C10" s="65" t="str">
        <f>+'III. Costs'!C29</f>
        <v>Total investment 5y</v>
      </c>
      <c r="D10" s="66"/>
      <c r="E10" s="66"/>
      <c r="F10" s="13">
        <f>+'III. Costs'!N29</f>
        <v>100000</v>
      </c>
      <c r="G10" s="13">
        <f>+'III. Costs'!O29</f>
        <v>20000</v>
      </c>
      <c r="H10" s="13">
        <f>+'III. Costs'!P29</f>
        <v>0</v>
      </c>
      <c r="I10" s="13">
        <f>+'III. Costs'!Q29</f>
        <v>0</v>
      </c>
      <c r="J10" s="13">
        <f>+'III. Costs'!R29</f>
        <v>0</v>
      </c>
      <c r="K10" s="13">
        <f>+'III. Costs'!S29</f>
        <v>0</v>
      </c>
      <c r="L10" s="13">
        <f>+'III. Costs'!T29</f>
        <v>0</v>
      </c>
      <c r="M10" s="13">
        <f>+'III. Costs'!U29</f>
        <v>0</v>
      </c>
      <c r="N10" s="13">
        <f>+'III. Costs'!V29</f>
        <v>50000</v>
      </c>
      <c r="O10" s="13">
        <f>+'III. Costs'!W29</f>
        <v>0</v>
      </c>
      <c r="P10" s="13">
        <f>+'III. Costs'!X29</f>
        <v>0</v>
      </c>
      <c r="Q10" s="13"/>
      <c r="R10" s="13"/>
      <c r="S10" s="13"/>
      <c r="T10" s="13"/>
      <c r="U10" s="13"/>
    </row>
    <row r="11" spans="1:21" s="6" customFormat="1" ht="14" thickBot="1" x14ac:dyDescent="0.2">
      <c r="B11" s="67"/>
      <c r="C11" s="67" t="s">
        <v>31</v>
      </c>
      <c r="D11" s="67"/>
      <c r="E11" s="67"/>
      <c r="F11" s="68">
        <f>+F10</f>
        <v>100000</v>
      </c>
      <c r="G11" s="69">
        <f>+G10+F11</f>
        <v>120000</v>
      </c>
      <c r="H11" s="69">
        <f t="shared" ref="H11:U11" si="1">+G11+H10</f>
        <v>120000</v>
      </c>
      <c r="I11" s="69">
        <f t="shared" si="1"/>
        <v>120000</v>
      </c>
      <c r="J11" s="69">
        <f t="shared" si="1"/>
        <v>120000</v>
      </c>
      <c r="K11" s="69">
        <f t="shared" si="1"/>
        <v>120000</v>
      </c>
      <c r="L11" s="69">
        <f t="shared" si="1"/>
        <v>120000</v>
      </c>
      <c r="M11" s="69">
        <f t="shared" si="1"/>
        <v>120000</v>
      </c>
      <c r="N11" s="69">
        <f t="shared" si="1"/>
        <v>170000</v>
      </c>
      <c r="O11" s="69">
        <f t="shared" si="1"/>
        <v>170000</v>
      </c>
      <c r="P11" s="69">
        <f t="shared" si="1"/>
        <v>170000</v>
      </c>
      <c r="Q11" s="69">
        <f t="shared" si="1"/>
        <v>170000</v>
      </c>
      <c r="R11" s="69">
        <f t="shared" si="1"/>
        <v>170000</v>
      </c>
      <c r="S11" s="69">
        <f t="shared" si="1"/>
        <v>170000</v>
      </c>
      <c r="T11" s="69">
        <f t="shared" si="1"/>
        <v>170000</v>
      </c>
      <c r="U11" s="69">
        <f t="shared" si="1"/>
        <v>170000</v>
      </c>
    </row>
    <row r="12" spans="1:21" s="6" customFormat="1" ht="14" outlineLevel="1" thickTop="1" x14ac:dyDescent="0.15">
      <c r="B12" s="12"/>
      <c r="C12" s="70"/>
      <c r="D12" s="71">
        <f>+F9</f>
        <v>0</v>
      </c>
      <c r="E12" s="72">
        <f>+F10</f>
        <v>100000</v>
      </c>
      <c r="F12" s="13">
        <f t="shared" ref="F12:U21" si="2">IF(F$9=$D12,$E12/$D$8,IF(F$9&gt;=$D12+$D$8,0,IF(F$9&lt;$D12,0,$E12/$D$8)))</f>
        <v>20000</v>
      </c>
      <c r="G12" s="13">
        <f t="shared" si="2"/>
        <v>20000</v>
      </c>
      <c r="H12" s="13">
        <f t="shared" si="2"/>
        <v>20000</v>
      </c>
      <c r="I12" s="13">
        <f t="shared" si="2"/>
        <v>20000</v>
      </c>
      <c r="J12" s="13">
        <f t="shared" si="2"/>
        <v>20000</v>
      </c>
      <c r="K12" s="13">
        <f t="shared" si="2"/>
        <v>0</v>
      </c>
      <c r="L12" s="13">
        <f t="shared" si="2"/>
        <v>0</v>
      </c>
      <c r="M12" s="13">
        <f t="shared" si="2"/>
        <v>0</v>
      </c>
      <c r="N12" s="13">
        <f t="shared" si="2"/>
        <v>0</v>
      </c>
      <c r="O12" s="13">
        <f t="shared" si="2"/>
        <v>0</v>
      </c>
      <c r="P12" s="13">
        <f t="shared" si="2"/>
        <v>0</v>
      </c>
      <c r="Q12" s="13">
        <f t="shared" si="2"/>
        <v>0</v>
      </c>
      <c r="R12" s="13">
        <f t="shared" si="2"/>
        <v>0</v>
      </c>
      <c r="S12" s="13">
        <f t="shared" si="2"/>
        <v>0</v>
      </c>
      <c r="T12" s="13">
        <f t="shared" si="2"/>
        <v>0</v>
      </c>
      <c r="U12" s="13">
        <f t="shared" si="2"/>
        <v>0</v>
      </c>
    </row>
    <row r="13" spans="1:21" s="6" customFormat="1" outlineLevel="1" x14ac:dyDescent="0.15">
      <c r="B13" s="12"/>
      <c r="C13" s="73"/>
      <c r="D13" s="71">
        <f>+G9</f>
        <v>1</v>
      </c>
      <c r="E13" s="72">
        <f>+G10</f>
        <v>20000</v>
      </c>
      <c r="F13" s="13">
        <f t="shared" si="2"/>
        <v>0</v>
      </c>
      <c r="G13" s="13">
        <f t="shared" si="2"/>
        <v>4000</v>
      </c>
      <c r="H13" s="13">
        <f t="shared" si="2"/>
        <v>4000</v>
      </c>
      <c r="I13" s="13">
        <f t="shared" si="2"/>
        <v>4000</v>
      </c>
      <c r="J13" s="13">
        <f t="shared" si="2"/>
        <v>4000</v>
      </c>
      <c r="K13" s="13">
        <f t="shared" si="2"/>
        <v>4000</v>
      </c>
      <c r="L13" s="13">
        <f t="shared" si="2"/>
        <v>0</v>
      </c>
      <c r="M13" s="13">
        <f t="shared" si="2"/>
        <v>0</v>
      </c>
      <c r="N13" s="13">
        <f t="shared" si="2"/>
        <v>0</v>
      </c>
      <c r="O13" s="13">
        <f t="shared" si="2"/>
        <v>0</v>
      </c>
      <c r="P13" s="13">
        <f t="shared" si="2"/>
        <v>0</v>
      </c>
      <c r="Q13" s="13">
        <f t="shared" si="2"/>
        <v>0</v>
      </c>
      <c r="R13" s="13">
        <f t="shared" si="2"/>
        <v>0</v>
      </c>
      <c r="S13" s="13">
        <f t="shared" si="2"/>
        <v>0</v>
      </c>
      <c r="T13" s="13">
        <f t="shared" si="2"/>
        <v>0</v>
      </c>
      <c r="U13" s="13">
        <f t="shared" si="2"/>
        <v>0</v>
      </c>
    </row>
    <row r="14" spans="1:21" s="6" customFormat="1" outlineLevel="1" x14ac:dyDescent="0.15">
      <c r="B14" s="12"/>
      <c r="C14" s="73"/>
      <c r="D14" s="71">
        <f>+H9</f>
        <v>2</v>
      </c>
      <c r="E14" s="72">
        <f>+H10</f>
        <v>0</v>
      </c>
      <c r="F14" s="13">
        <f t="shared" si="2"/>
        <v>0</v>
      </c>
      <c r="G14" s="13">
        <f t="shared" si="2"/>
        <v>0</v>
      </c>
      <c r="H14" s="13">
        <f t="shared" si="2"/>
        <v>0</v>
      </c>
      <c r="I14" s="13">
        <f t="shared" si="2"/>
        <v>0</v>
      </c>
      <c r="J14" s="13">
        <f t="shared" si="2"/>
        <v>0</v>
      </c>
      <c r="K14" s="13">
        <f t="shared" si="2"/>
        <v>0</v>
      </c>
      <c r="L14" s="13">
        <f t="shared" si="2"/>
        <v>0</v>
      </c>
      <c r="M14" s="13">
        <f t="shared" si="2"/>
        <v>0</v>
      </c>
      <c r="N14" s="13">
        <f t="shared" si="2"/>
        <v>0</v>
      </c>
      <c r="O14" s="13">
        <f t="shared" si="2"/>
        <v>0</v>
      </c>
      <c r="P14" s="13">
        <f t="shared" si="2"/>
        <v>0</v>
      </c>
      <c r="Q14" s="13">
        <f t="shared" si="2"/>
        <v>0</v>
      </c>
      <c r="R14" s="13">
        <f t="shared" si="2"/>
        <v>0</v>
      </c>
      <c r="S14" s="13">
        <f t="shared" si="2"/>
        <v>0</v>
      </c>
      <c r="T14" s="13">
        <f t="shared" si="2"/>
        <v>0</v>
      </c>
      <c r="U14" s="13">
        <f t="shared" si="2"/>
        <v>0</v>
      </c>
    </row>
    <row r="15" spans="1:21" s="6" customFormat="1" outlineLevel="1" x14ac:dyDescent="0.15">
      <c r="B15" s="12"/>
      <c r="C15" s="73"/>
      <c r="D15" s="71">
        <f>+I9</f>
        <v>3</v>
      </c>
      <c r="E15" s="72">
        <f>+I10</f>
        <v>0</v>
      </c>
      <c r="F15" s="13">
        <f t="shared" si="2"/>
        <v>0</v>
      </c>
      <c r="G15" s="13">
        <f t="shared" si="2"/>
        <v>0</v>
      </c>
      <c r="H15" s="13">
        <f t="shared" si="2"/>
        <v>0</v>
      </c>
      <c r="I15" s="13">
        <f t="shared" si="2"/>
        <v>0</v>
      </c>
      <c r="J15" s="13">
        <f t="shared" si="2"/>
        <v>0</v>
      </c>
      <c r="K15" s="13">
        <f t="shared" si="2"/>
        <v>0</v>
      </c>
      <c r="L15" s="13">
        <f t="shared" si="2"/>
        <v>0</v>
      </c>
      <c r="M15" s="13">
        <f t="shared" si="2"/>
        <v>0</v>
      </c>
      <c r="N15" s="13">
        <f t="shared" si="2"/>
        <v>0</v>
      </c>
      <c r="O15" s="13">
        <f t="shared" si="2"/>
        <v>0</v>
      </c>
      <c r="P15" s="13">
        <f t="shared" si="2"/>
        <v>0</v>
      </c>
      <c r="Q15" s="13">
        <f t="shared" si="2"/>
        <v>0</v>
      </c>
      <c r="R15" s="13">
        <f t="shared" si="2"/>
        <v>0</v>
      </c>
      <c r="S15" s="13">
        <f t="shared" si="2"/>
        <v>0</v>
      </c>
      <c r="T15" s="13">
        <f t="shared" si="2"/>
        <v>0</v>
      </c>
      <c r="U15" s="13">
        <f t="shared" si="2"/>
        <v>0</v>
      </c>
    </row>
    <row r="16" spans="1:21" s="6" customFormat="1" outlineLevel="1" x14ac:dyDescent="0.15">
      <c r="B16" s="12"/>
      <c r="C16" s="32"/>
      <c r="D16" s="71">
        <f>+J9</f>
        <v>4</v>
      </c>
      <c r="E16" s="72">
        <f>+J10</f>
        <v>0</v>
      </c>
      <c r="F16" s="13">
        <f t="shared" si="2"/>
        <v>0</v>
      </c>
      <c r="G16" s="13">
        <f t="shared" si="2"/>
        <v>0</v>
      </c>
      <c r="H16" s="13">
        <f t="shared" si="2"/>
        <v>0</v>
      </c>
      <c r="I16" s="13">
        <f t="shared" si="2"/>
        <v>0</v>
      </c>
      <c r="J16" s="13">
        <f t="shared" si="2"/>
        <v>0</v>
      </c>
      <c r="K16" s="13">
        <f t="shared" si="2"/>
        <v>0</v>
      </c>
      <c r="L16" s="13">
        <f t="shared" si="2"/>
        <v>0</v>
      </c>
      <c r="M16" s="13">
        <f t="shared" si="2"/>
        <v>0</v>
      </c>
      <c r="N16" s="13">
        <f t="shared" si="2"/>
        <v>0</v>
      </c>
      <c r="O16" s="13">
        <f t="shared" si="2"/>
        <v>0</v>
      </c>
      <c r="P16" s="13">
        <f t="shared" si="2"/>
        <v>0</v>
      </c>
      <c r="Q16" s="13">
        <f t="shared" si="2"/>
        <v>0</v>
      </c>
      <c r="R16" s="13">
        <f t="shared" si="2"/>
        <v>0</v>
      </c>
      <c r="S16" s="13">
        <f t="shared" si="2"/>
        <v>0</v>
      </c>
      <c r="T16" s="13">
        <f t="shared" si="2"/>
        <v>0</v>
      </c>
      <c r="U16" s="13">
        <f t="shared" si="2"/>
        <v>0</v>
      </c>
    </row>
    <row r="17" spans="2:22" s="6" customFormat="1" outlineLevel="1" x14ac:dyDescent="0.15">
      <c r="B17" s="12"/>
      <c r="C17" s="32"/>
      <c r="D17" s="71">
        <f>+K9</f>
        <v>5</v>
      </c>
      <c r="E17" s="72">
        <f>+K10</f>
        <v>0</v>
      </c>
      <c r="F17" s="13">
        <f t="shared" si="2"/>
        <v>0</v>
      </c>
      <c r="G17" s="13">
        <f t="shared" si="2"/>
        <v>0</v>
      </c>
      <c r="H17" s="13">
        <f t="shared" si="2"/>
        <v>0</v>
      </c>
      <c r="I17" s="13">
        <f t="shared" si="2"/>
        <v>0</v>
      </c>
      <c r="J17" s="13">
        <f t="shared" si="2"/>
        <v>0</v>
      </c>
      <c r="K17" s="13">
        <f t="shared" si="2"/>
        <v>0</v>
      </c>
      <c r="L17" s="13">
        <f t="shared" si="2"/>
        <v>0</v>
      </c>
      <c r="M17" s="13">
        <f t="shared" si="2"/>
        <v>0</v>
      </c>
      <c r="N17" s="13">
        <f t="shared" si="2"/>
        <v>0</v>
      </c>
      <c r="O17" s="13">
        <f t="shared" si="2"/>
        <v>0</v>
      </c>
      <c r="P17" s="13">
        <f t="shared" si="2"/>
        <v>0</v>
      </c>
      <c r="Q17" s="13">
        <f t="shared" si="2"/>
        <v>0</v>
      </c>
      <c r="R17" s="13">
        <f t="shared" si="2"/>
        <v>0</v>
      </c>
      <c r="S17" s="13">
        <f t="shared" si="2"/>
        <v>0</v>
      </c>
      <c r="T17" s="13">
        <f t="shared" si="2"/>
        <v>0</v>
      </c>
      <c r="U17" s="13">
        <f t="shared" si="2"/>
        <v>0</v>
      </c>
    </row>
    <row r="18" spans="2:22" s="6" customFormat="1" outlineLevel="1" x14ac:dyDescent="0.15">
      <c r="B18" s="12"/>
      <c r="C18" s="32"/>
      <c r="D18" s="71">
        <f>+L9</f>
        <v>6</v>
      </c>
      <c r="E18" s="72">
        <f>+L10</f>
        <v>0</v>
      </c>
      <c r="F18" s="13">
        <f t="shared" si="2"/>
        <v>0</v>
      </c>
      <c r="G18" s="13">
        <f t="shared" si="2"/>
        <v>0</v>
      </c>
      <c r="H18" s="13">
        <f t="shared" si="2"/>
        <v>0</v>
      </c>
      <c r="I18" s="13">
        <f t="shared" si="2"/>
        <v>0</v>
      </c>
      <c r="J18" s="13">
        <f t="shared" si="2"/>
        <v>0</v>
      </c>
      <c r="K18" s="13">
        <f t="shared" si="2"/>
        <v>0</v>
      </c>
      <c r="L18" s="13">
        <f t="shared" si="2"/>
        <v>0</v>
      </c>
      <c r="M18" s="13">
        <f t="shared" si="2"/>
        <v>0</v>
      </c>
      <c r="N18" s="13">
        <f t="shared" si="2"/>
        <v>0</v>
      </c>
      <c r="O18" s="13">
        <f t="shared" si="2"/>
        <v>0</v>
      </c>
      <c r="P18" s="13">
        <f t="shared" si="2"/>
        <v>0</v>
      </c>
      <c r="Q18" s="13">
        <f t="shared" si="2"/>
        <v>0</v>
      </c>
      <c r="R18" s="13">
        <f t="shared" si="2"/>
        <v>0</v>
      </c>
      <c r="S18" s="13">
        <f t="shared" si="2"/>
        <v>0</v>
      </c>
      <c r="T18" s="13">
        <f t="shared" si="2"/>
        <v>0</v>
      </c>
      <c r="U18" s="13">
        <f t="shared" si="2"/>
        <v>0</v>
      </c>
    </row>
    <row r="19" spans="2:22" s="6" customFormat="1" outlineLevel="1" x14ac:dyDescent="0.15">
      <c r="B19" s="12"/>
      <c r="C19" s="32"/>
      <c r="D19" s="71">
        <f>+M9</f>
        <v>7</v>
      </c>
      <c r="E19" s="72">
        <f>+M10</f>
        <v>0</v>
      </c>
      <c r="F19" s="13">
        <f t="shared" si="2"/>
        <v>0</v>
      </c>
      <c r="G19" s="13">
        <f t="shared" si="2"/>
        <v>0</v>
      </c>
      <c r="H19" s="13">
        <f t="shared" si="2"/>
        <v>0</v>
      </c>
      <c r="I19" s="13">
        <f t="shared" si="2"/>
        <v>0</v>
      </c>
      <c r="J19" s="13">
        <f t="shared" si="2"/>
        <v>0</v>
      </c>
      <c r="K19" s="13">
        <f t="shared" si="2"/>
        <v>0</v>
      </c>
      <c r="L19" s="13">
        <f t="shared" si="2"/>
        <v>0</v>
      </c>
      <c r="M19" s="13">
        <f t="shared" si="2"/>
        <v>0</v>
      </c>
      <c r="N19" s="13">
        <f t="shared" si="2"/>
        <v>0</v>
      </c>
      <c r="O19" s="13">
        <f t="shared" si="2"/>
        <v>0</v>
      </c>
      <c r="P19" s="13">
        <f t="shared" si="2"/>
        <v>0</v>
      </c>
      <c r="Q19" s="13">
        <f t="shared" si="2"/>
        <v>0</v>
      </c>
      <c r="R19" s="13">
        <f t="shared" si="2"/>
        <v>0</v>
      </c>
      <c r="S19" s="13">
        <f t="shared" si="2"/>
        <v>0</v>
      </c>
      <c r="T19" s="13">
        <f t="shared" si="2"/>
        <v>0</v>
      </c>
      <c r="U19" s="13">
        <f t="shared" si="2"/>
        <v>0</v>
      </c>
    </row>
    <row r="20" spans="2:22" s="6" customFormat="1" outlineLevel="1" x14ac:dyDescent="0.15">
      <c r="B20" s="12"/>
      <c r="C20" s="32"/>
      <c r="D20" s="71">
        <f>+N9</f>
        <v>8</v>
      </c>
      <c r="E20" s="72">
        <f>+N10</f>
        <v>50000</v>
      </c>
      <c r="F20" s="13">
        <f t="shared" si="2"/>
        <v>0</v>
      </c>
      <c r="G20" s="13">
        <f t="shared" si="2"/>
        <v>0</v>
      </c>
      <c r="H20" s="13">
        <f t="shared" si="2"/>
        <v>0</v>
      </c>
      <c r="I20" s="13">
        <f t="shared" si="2"/>
        <v>0</v>
      </c>
      <c r="J20" s="13">
        <f t="shared" si="2"/>
        <v>0</v>
      </c>
      <c r="K20" s="13">
        <f t="shared" si="2"/>
        <v>0</v>
      </c>
      <c r="L20" s="13">
        <f t="shared" si="2"/>
        <v>0</v>
      </c>
      <c r="M20" s="13">
        <f t="shared" si="2"/>
        <v>0</v>
      </c>
      <c r="N20" s="13">
        <f t="shared" si="2"/>
        <v>10000</v>
      </c>
      <c r="O20" s="13">
        <f t="shared" si="2"/>
        <v>10000</v>
      </c>
      <c r="P20" s="13">
        <f t="shared" si="2"/>
        <v>10000</v>
      </c>
      <c r="Q20" s="13">
        <f t="shared" si="2"/>
        <v>10000</v>
      </c>
      <c r="R20" s="13">
        <f t="shared" si="2"/>
        <v>10000</v>
      </c>
      <c r="S20" s="13">
        <f t="shared" si="2"/>
        <v>0</v>
      </c>
      <c r="T20" s="13">
        <f t="shared" si="2"/>
        <v>0</v>
      </c>
      <c r="U20" s="13">
        <f t="shared" si="2"/>
        <v>0</v>
      </c>
    </row>
    <row r="21" spans="2:22" s="6" customFormat="1" outlineLevel="1" x14ac:dyDescent="0.15">
      <c r="B21" s="12"/>
      <c r="C21" s="32"/>
      <c r="D21" s="71">
        <f>+O9</f>
        <v>9</v>
      </c>
      <c r="E21" s="72">
        <f>+O10</f>
        <v>0</v>
      </c>
      <c r="F21" s="13">
        <f t="shared" si="2"/>
        <v>0</v>
      </c>
      <c r="G21" s="13">
        <f t="shared" si="2"/>
        <v>0</v>
      </c>
      <c r="H21" s="13">
        <f t="shared" si="2"/>
        <v>0</v>
      </c>
      <c r="I21" s="13">
        <f t="shared" si="2"/>
        <v>0</v>
      </c>
      <c r="J21" s="13">
        <f t="shared" si="2"/>
        <v>0</v>
      </c>
      <c r="K21" s="13">
        <f t="shared" si="2"/>
        <v>0</v>
      </c>
      <c r="L21" s="13">
        <f t="shared" si="2"/>
        <v>0</v>
      </c>
      <c r="M21" s="13">
        <f t="shared" si="2"/>
        <v>0</v>
      </c>
      <c r="N21" s="13">
        <f t="shared" si="2"/>
        <v>0</v>
      </c>
      <c r="O21" s="13">
        <f t="shared" si="2"/>
        <v>0</v>
      </c>
      <c r="P21" s="13">
        <f t="shared" si="2"/>
        <v>0</v>
      </c>
      <c r="Q21" s="13">
        <f t="shared" si="2"/>
        <v>0</v>
      </c>
      <c r="R21" s="13">
        <f t="shared" si="2"/>
        <v>0</v>
      </c>
      <c r="S21" s="13">
        <f t="shared" si="2"/>
        <v>0</v>
      </c>
      <c r="T21" s="13">
        <f t="shared" si="2"/>
        <v>0</v>
      </c>
      <c r="U21" s="13">
        <f t="shared" si="2"/>
        <v>0</v>
      </c>
    </row>
    <row r="22" spans="2:22" s="6" customFormat="1" outlineLevel="1" x14ac:dyDescent="0.15">
      <c r="B22" s="65"/>
      <c r="C22" s="32"/>
      <c r="D22" s="71">
        <f>+P9</f>
        <v>10</v>
      </c>
      <c r="E22" s="72">
        <f>+P10</f>
        <v>0</v>
      </c>
      <c r="F22" s="13">
        <f t="shared" ref="F22:U27" si="3">IF(F$9=$D22,$E22/$D$8,IF(F$9&gt;=$D22+$D$8,0,IF(F$9&lt;$D22,0,$E22/$D$8)))</f>
        <v>0</v>
      </c>
      <c r="G22" s="13">
        <f t="shared" si="3"/>
        <v>0</v>
      </c>
      <c r="H22" s="13">
        <f t="shared" si="3"/>
        <v>0</v>
      </c>
      <c r="I22" s="13">
        <f t="shared" si="3"/>
        <v>0</v>
      </c>
      <c r="J22" s="13">
        <f t="shared" si="3"/>
        <v>0</v>
      </c>
      <c r="K22" s="13">
        <f t="shared" si="3"/>
        <v>0</v>
      </c>
      <c r="L22" s="13">
        <f t="shared" si="3"/>
        <v>0</v>
      </c>
      <c r="M22" s="13">
        <f t="shared" si="3"/>
        <v>0</v>
      </c>
      <c r="N22" s="13">
        <f t="shared" si="3"/>
        <v>0</v>
      </c>
      <c r="O22" s="13">
        <f t="shared" si="3"/>
        <v>0</v>
      </c>
      <c r="P22" s="13">
        <f t="shared" si="3"/>
        <v>0</v>
      </c>
      <c r="Q22" s="13">
        <f t="shared" si="3"/>
        <v>0</v>
      </c>
      <c r="R22" s="13">
        <f t="shared" si="3"/>
        <v>0</v>
      </c>
      <c r="S22" s="13">
        <f t="shared" si="3"/>
        <v>0</v>
      </c>
      <c r="T22" s="13">
        <f t="shared" si="3"/>
        <v>0</v>
      </c>
      <c r="U22" s="13">
        <f t="shared" si="3"/>
        <v>0</v>
      </c>
    </row>
    <row r="23" spans="2:22" s="6" customFormat="1" outlineLevel="1" x14ac:dyDescent="0.15">
      <c r="B23" s="12"/>
      <c r="C23" s="32"/>
      <c r="D23" s="71">
        <f>+Q9</f>
        <v>11</v>
      </c>
      <c r="E23" s="72">
        <f>+Q10</f>
        <v>0</v>
      </c>
      <c r="F23" s="13">
        <f t="shared" si="3"/>
        <v>0</v>
      </c>
      <c r="G23" s="13">
        <f t="shared" si="3"/>
        <v>0</v>
      </c>
      <c r="H23" s="13">
        <f t="shared" si="3"/>
        <v>0</v>
      </c>
      <c r="I23" s="13">
        <f t="shared" si="3"/>
        <v>0</v>
      </c>
      <c r="J23" s="13">
        <f t="shared" si="3"/>
        <v>0</v>
      </c>
      <c r="K23" s="13">
        <f t="shared" si="3"/>
        <v>0</v>
      </c>
      <c r="L23" s="13">
        <f t="shared" si="3"/>
        <v>0</v>
      </c>
      <c r="M23" s="13">
        <f t="shared" si="3"/>
        <v>0</v>
      </c>
      <c r="N23" s="13">
        <f t="shared" si="3"/>
        <v>0</v>
      </c>
      <c r="O23" s="13">
        <f t="shared" si="3"/>
        <v>0</v>
      </c>
      <c r="P23" s="13">
        <f t="shared" si="3"/>
        <v>0</v>
      </c>
      <c r="Q23" s="13">
        <f t="shared" si="3"/>
        <v>0</v>
      </c>
      <c r="R23" s="13">
        <f t="shared" si="3"/>
        <v>0</v>
      </c>
      <c r="S23" s="13">
        <f t="shared" si="3"/>
        <v>0</v>
      </c>
      <c r="T23" s="13">
        <f t="shared" si="3"/>
        <v>0</v>
      </c>
      <c r="U23" s="13">
        <f t="shared" si="3"/>
        <v>0</v>
      </c>
    </row>
    <row r="24" spans="2:22" s="6" customFormat="1" outlineLevel="1" x14ac:dyDescent="0.15">
      <c r="B24" s="12"/>
      <c r="C24" s="32"/>
      <c r="D24" s="71">
        <f>+R9</f>
        <v>12</v>
      </c>
      <c r="E24" s="72">
        <f>+R10</f>
        <v>0</v>
      </c>
      <c r="F24" s="13">
        <f t="shared" si="3"/>
        <v>0</v>
      </c>
      <c r="G24" s="13">
        <f t="shared" si="3"/>
        <v>0</v>
      </c>
      <c r="H24" s="13">
        <f t="shared" si="3"/>
        <v>0</v>
      </c>
      <c r="I24" s="13">
        <f t="shared" si="3"/>
        <v>0</v>
      </c>
      <c r="J24" s="13">
        <f t="shared" si="3"/>
        <v>0</v>
      </c>
      <c r="K24" s="13">
        <f t="shared" si="3"/>
        <v>0</v>
      </c>
      <c r="L24" s="13">
        <f t="shared" si="3"/>
        <v>0</v>
      </c>
      <c r="M24" s="13">
        <f t="shared" si="3"/>
        <v>0</v>
      </c>
      <c r="N24" s="13">
        <f t="shared" si="3"/>
        <v>0</v>
      </c>
      <c r="O24" s="13">
        <f t="shared" si="3"/>
        <v>0</v>
      </c>
      <c r="P24" s="13">
        <f t="shared" si="3"/>
        <v>0</v>
      </c>
      <c r="Q24" s="13">
        <f t="shared" si="3"/>
        <v>0</v>
      </c>
      <c r="R24" s="13">
        <f t="shared" si="3"/>
        <v>0</v>
      </c>
      <c r="S24" s="13">
        <f t="shared" si="3"/>
        <v>0</v>
      </c>
      <c r="T24" s="13">
        <f t="shared" si="3"/>
        <v>0</v>
      </c>
      <c r="U24" s="13">
        <f t="shared" si="3"/>
        <v>0</v>
      </c>
    </row>
    <row r="25" spans="2:22" s="6" customFormat="1" outlineLevel="1" x14ac:dyDescent="0.15">
      <c r="B25" s="12"/>
      <c r="C25" s="32"/>
      <c r="D25" s="71">
        <f>+S9</f>
        <v>13</v>
      </c>
      <c r="E25" s="72">
        <f>+S10</f>
        <v>0</v>
      </c>
      <c r="F25" s="13">
        <f t="shared" si="3"/>
        <v>0</v>
      </c>
      <c r="G25" s="13">
        <f t="shared" si="3"/>
        <v>0</v>
      </c>
      <c r="H25" s="13">
        <f t="shared" si="3"/>
        <v>0</v>
      </c>
      <c r="I25" s="13">
        <f t="shared" si="3"/>
        <v>0</v>
      </c>
      <c r="J25" s="13">
        <f t="shared" si="3"/>
        <v>0</v>
      </c>
      <c r="K25" s="13">
        <f t="shared" si="3"/>
        <v>0</v>
      </c>
      <c r="L25" s="13">
        <f t="shared" si="3"/>
        <v>0</v>
      </c>
      <c r="M25" s="13">
        <f t="shared" si="3"/>
        <v>0</v>
      </c>
      <c r="N25" s="13">
        <f t="shared" si="3"/>
        <v>0</v>
      </c>
      <c r="O25" s="13">
        <f t="shared" si="3"/>
        <v>0</v>
      </c>
      <c r="P25" s="13">
        <f t="shared" si="3"/>
        <v>0</v>
      </c>
      <c r="Q25" s="13">
        <f t="shared" si="3"/>
        <v>0</v>
      </c>
      <c r="R25" s="13">
        <f t="shared" si="3"/>
        <v>0</v>
      </c>
      <c r="S25" s="13">
        <f t="shared" si="3"/>
        <v>0</v>
      </c>
      <c r="T25" s="13">
        <f t="shared" si="3"/>
        <v>0</v>
      </c>
      <c r="U25" s="13">
        <f t="shared" si="3"/>
        <v>0</v>
      </c>
    </row>
    <row r="26" spans="2:22" s="6" customFormat="1" outlineLevel="1" x14ac:dyDescent="0.15">
      <c r="B26" s="12"/>
      <c r="C26" s="32"/>
      <c r="D26" s="71">
        <f>+T9</f>
        <v>14</v>
      </c>
      <c r="E26" s="72">
        <f>+T10</f>
        <v>0</v>
      </c>
      <c r="F26" s="13">
        <f t="shared" si="3"/>
        <v>0</v>
      </c>
      <c r="G26" s="13">
        <f t="shared" si="3"/>
        <v>0</v>
      </c>
      <c r="H26" s="13">
        <f t="shared" si="3"/>
        <v>0</v>
      </c>
      <c r="I26" s="13">
        <f t="shared" si="3"/>
        <v>0</v>
      </c>
      <c r="J26" s="13">
        <f t="shared" si="3"/>
        <v>0</v>
      </c>
      <c r="K26" s="13">
        <f t="shared" si="3"/>
        <v>0</v>
      </c>
      <c r="L26" s="13">
        <f t="shared" si="3"/>
        <v>0</v>
      </c>
      <c r="M26" s="13">
        <f t="shared" si="3"/>
        <v>0</v>
      </c>
      <c r="N26" s="13">
        <f t="shared" si="3"/>
        <v>0</v>
      </c>
      <c r="O26" s="13">
        <f t="shared" si="3"/>
        <v>0</v>
      </c>
      <c r="P26" s="13">
        <f t="shared" si="3"/>
        <v>0</v>
      </c>
      <c r="Q26" s="13">
        <f t="shared" si="3"/>
        <v>0</v>
      </c>
      <c r="R26" s="13">
        <f t="shared" si="3"/>
        <v>0</v>
      </c>
      <c r="S26" s="13">
        <f t="shared" si="3"/>
        <v>0</v>
      </c>
      <c r="T26" s="13">
        <f t="shared" si="3"/>
        <v>0</v>
      </c>
      <c r="U26" s="13">
        <f t="shared" si="3"/>
        <v>0</v>
      </c>
    </row>
    <row r="27" spans="2:22" s="6" customFormat="1" outlineLevel="1" x14ac:dyDescent="0.15">
      <c r="B27" s="12"/>
      <c r="C27" s="32"/>
      <c r="D27" s="71">
        <f>+U9</f>
        <v>15</v>
      </c>
      <c r="E27" s="72">
        <f>+U10</f>
        <v>0</v>
      </c>
      <c r="F27" s="13">
        <f t="shared" si="3"/>
        <v>0</v>
      </c>
      <c r="G27" s="13">
        <f t="shared" si="3"/>
        <v>0</v>
      </c>
      <c r="H27" s="13">
        <f t="shared" si="3"/>
        <v>0</v>
      </c>
      <c r="I27" s="13">
        <f t="shared" si="3"/>
        <v>0</v>
      </c>
      <c r="J27" s="13">
        <f t="shared" si="3"/>
        <v>0</v>
      </c>
      <c r="K27" s="13">
        <f t="shared" si="3"/>
        <v>0</v>
      </c>
      <c r="L27" s="13">
        <f t="shared" si="3"/>
        <v>0</v>
      </c>
      <c r="M27" s="13">
        <f t="shared" si="3"/>
        <v>0</v>
      </c>
      <c r="N27" s="13">
        <f t="shared" si="3"/>
        <v>0</v>
      </c>
      <c r="O27" s="13">
        <f t="shared" si="3"/>
        <v>0</v>
      </c>
      <c r="P27" s="13">
        <f t="shared" si="3"/>
        <v>0</v>
      </c>
      <c r="Q27" s="13">
        <f t="shared" si="3"/>
        <v>0</v>
      </c>
      <c r="R27" s="13">
        <f t="shared" si="3"/>
        <v>0</v>
      </c>
      <c r="S27" s="13">
        <f t="shared" si="3"/>
        <v>0</v>
      </c>
      <c r="T27" s="13">
        <f t="shared" si="3"/>
        <v>0</v>
      </c>
      <c r="U27" s="13">
        <f t="shared" si="3"/>
        <v>0</v>
      </c>
    </row>
    <row r="28" spans="2:22" s="6" customFormat="1" x14ac:dyDescent="0.15">
      <c r="C28" s="65" t="s">
        <v>30</v>
      </c>
      <c r="F28" s="13">
        <f>IF(F$9=$D28,$E28/$D$8,IF(F$9&gt;=$D28+$D$8,0,IF(F$9&lt;$D28,0,$E28/$D$8)))</f>
        <v>0</v>
      </c>
      <c r="G28" s="13">
        <f>+G11-G29</f>
        <v>76000</v>
      </c>
      <c r="H28" s="13">
        <f t="shared" ref="H28:U28" si="4">+H11-H29</f>
        <v>52000</v>
      </c>
      <c r="I28" s="13">
        <f t="shared" si="4"/>
        <v>28000</v>
      </c>
      <c r="J28" s="13">
        <f t="shared" si="4"/>
        <v>4000</v>
      </c>
      <c r="K28" s="13">
        <f t="shared" si="4"/>
        <v>0</v>
      </c>
      <c r="L28" s="13">
        <f t="shared" si="4"/>
        <v>0</v>
      </c>
      <c r="M28" s="13">
        <f t="shared" si="4"/>
        <v>0</v>
      </c>
      <c r="N28" s="13">
        <f t="shared" si="4"/>
        <v>40000</v>
      </c>
      <c r="O28" s="13">
        <f t="shared" si="4"/>
        <v>30000</v>
      </c>
      <c r="P28" s="13">
        <f t="shared" si="4"/>
        <v>20000</v>
      </c>
      <c r="Q28" s="13">
        <f t="shared" si="4"/>
        <v>10000</v>
      </c>
      <c r="R28" s="13">
        <f t="shared" si="4"/>
        <v>0</v>
      </c>
      <c r="S28" s="13">
        <f t="shared" si="4"/>
        <v>0</v>
      </c>
      <c r="T28" s="13">
        <f t="shared" si="4"/>
        <v>0</v>
      </c>
      <c r="U28" s="13">
        <f t="shared" si="4"/>
        <v>0</v>
      </c>
      <c r="V28" s="8"/>
    </row>
    <row r="29" spans="2:22" s="6" customFormat="1" outlineLevel="1" x14ac:dyDescent="0.15">
      <c r="B29" s="12"/>
      <c r="C29" s="65" t="s">
        <v>17</v>
      </c>
      <c r="D29" s="74"/>
      <c r="E29" s="72"/>
      <c r="F29" s="13"/>
      <c r="G29" s="13">
        <f>+G30+F30</f>
        <v>44000</v>
      </c>
      <c r="H29" s="13">
        <f t="shared" ref="H29:U29" si="5">+H30+G29</f>
        <v>68000</v>
      </c>
      <c r="I29" s="13">
        <f t="shared" si="5"/>
        <v>92000</v>
      </c>
      <c r="J29" s="13">
        <f t="shared" si="5"/>
        <v>116000</v>
      </c>
      <c r="K29" s="13">
        <f t="shared" si="5"/>
        <v>120000</v>
      </c>
      <c r="L29" s="13">
        <f t="shared" si="5"/>
        <v>120000</v>
      </c>
      <c r="M29" s="13">
        <f t="shared" si="5"/>
        <v>120000</v>
      </c>
      <c r="N29" s="13">
        <f t="shared" si="5"/>
        <v>130000</v>
      </c>
      <c r="O29" s="13">
        <f t="shared" si="5"/>
        <v>140000</v>
      </c>
      <c r="P29" s="13">
        <f t="shared" si="5"/>
        <v>150000</v>
      </c>
      <c r="Q29" s="13">
        <f t="shared" si="5"/>
        <v>160000</v>
      </c>
      <c r="R29" s="13">
        <f t="shared" si="5"/>
        <v>170000</v>
      </c>
      <c r="S29" s="13">
        <f t="shared" si="5"/>
        <v>170000</v>
      </c>
      <c r="T29" s="13">
        <f t="shared" si="5"/>
        <v>170000</v>
      </c>
      <c r="U29" s="13">
        <f t="shared" si="5"/>
        <v>170000</v>
      </c>
    </row>
    <row r="30" spans="2:22" s="9" customFormat="1" x14ac:dyDescent="0.15">
      <c r="C30" s="65" t="s">
        <v>2</v>
      </c>
      <c r="F30" s="13">
        <f>SUM(F12:F29)</f>
        <v>20000</v>
      </c>
      <c r="G30" s="13">
        <f t="shared" ref="G30:U30" si="6">SUM(G12:G27)</f>
        <v>24000</v>
      </c>
      <c r="H30" s="13">
        <f t="shared" si="6"/>
        <v>24000</v>
      </c>
      <c r="I30" s="13">
        <f t="shared" si="6"/>
        <v>24000</v>
      </c>
      <c r="J30" s="13">
        <f t="shared" si="6"/>
        <v>24000</v>
      </c>
      <c r="K30" s="13">
        <f t="shared" si="6"/>
        <v>4000</v>
      </c>
      <c r="L30" s="13">
        <f t="shared" si="6"/>
        <v>0</v>
      </c>
      <c r="M30" s="13">
        <f t="shared" si="6"/>
        <v>0</v>
      </c>
      <c r="N30" s="13">
        <f t="shared" si="6"/>
        <v>10000</v>
      </c>
      <c r="O30" s="13">
        <f t="shared" si="6"/>
        <v>10000</v>
      </c>
      <c r="P30" s="13">
        <f t="shared" si="6"/>
        <v>10000</v>
      </c>
      <c r="Q30" s="13">
        <f t="shared" si="6"/>
        <v>10000</v>
      </c>
      <c r="R30" s="13">
        <f t="shared" si="6"/>
        <v>10000</v>
      </c>
      <c r="S30" s="13">
        <f t="shared" si="6"/>
        <v>0</v>
      </c>
      <c r="T30" s="13">
        <f t="shared" si="6"/>
        <v>0</v>
      </c>
      <c r="U30" s="13">
        <f t="shared" si="6"/>
        <v>0</v>
      </c>
    </row>
    <row r="31" spans="2:22" s="6" customFormat="1" x14ac:dyDescent="0.15"/>
    <row r="32" spans="2:22" s="6" customFormat="1" x14ac:dyDescent="0.15">
      <c r="D32" s="56" t="s">
        <v>13</v>
      </c>
      <c r="E32" s="57" t="s">
        <v>18</v>
      </c>
    </row>
    <row r="33" spans="1:23" s="6" customFormat="1" x14ac:dyDescent="0.15">
      <c r="C33" s="58"/>
      <c r="D33" s="59">
        <f>+'I.Input Data'!M74</f>
        <v>7</v>
      </c>
      <c r="E33" s="60">
        <f>1/D33</f>
        <v>0.14285714285714285</v>
      </c>
      <c r="F33" s="168">
        <f>+'I.Input Data'!F11</f>
        <v>43101</v>
      </c>
      <c r="G33" s="492" t="s">
        <v>65</v>
      </c>
      <c r="H33" s="492"/>
      <c r="I33" s="492"/>
      <c r="J33" s="492"/>
      <c r="K33" s="492"/>
      <c r="L33" s="492"/>
      <c r="M33" s="492"/>
      <c r="N33" s="492"/>
      <c r="O33" s="492"/>
      <c r="P33" s="493"/>
      <c r="Q33" s="61"/>
      <c r="R33" s="61"/>
      <c r="S33" s="61"/>
      <c r="T33" s="61"/>
      <c r="U33" s="62"/>
      <c r="V33" s="8"/>
    </row>
    <row r="34" spans="1:23" s="6" customFormat="1" ht="18" x14ac:dyDescent="0.2">
      <c r="A34" s="63"/>
      <c r="B34" s="64"/>
      <c r="C34" s="64"/>
      <c r="D34" s="8"/>
      <c r="E34" s="8"/>
      <c r="F34" s="214">
        <v>0</v>
      </c>
      <c r="G34" s="179">
        <v>1</v>
      </c>
      <c r="H34" s="179">
        <v>2</v>
      </c>
      <c r="I34" s="179">
        <v>3</v>
      </c>
      <c r="J34" s="179">
        <v>4</v>
      </c>
      <c r="K34" s="179">
        <v>5</v>
      </c>
      <c r="L34" s="179">
        <v>6</v>
      </c>
      <c r="M34" s="179">
        <v>7</v>
      </c>
      <c r="N34" s="179">
        <v>8</v>
      </c>
      <c r="O34" s="179">
        <v>9</v>
      </c>
      <c r="P34" s="179">
        <v>10</v>
      </c>
      <c r="Q34" s="216">
        <f t="shared" ref="Q34" si="7">+P34+1</f>
        <v>11</v>
      </c>
      <c r="R34" s="216">
        <f t="shared" ref="R34" si="8">+Q34+1</f>
        <v>12</v>
      </c>
      <c r="S34" s="216">
        <f t="shared" ref="S34" si="9">+R34+1</f>
        <v>13</v>
      </c>
      <c r="T34" s="216">
        <f t="shared" ref="T34" si="10">+S34+1</f>
        <v>14</v>
      </c>
      <c r="U34" s="216">
        <f t="shared" ref="U34" si="11">+T34+1</f>
        <v>15</v>
      </c>
      <c r="V34" s="10"/>
      <c r="W34" s="10"/>
    </row>
    <row r="35" spans="1:23" s="6" customFormat="1" x14ac:dyDescent="0.15">
      <c r="C35" s="65" t="str">
        <f>+'III. Costs'!C32</f>
        <v>Total investment 7y</v>
      </c>
      <c r="D35" s="66"/>
      <c r="E35" s="66"/>
      <c r="F35" s="13">
        <f>+'III. Costs'!N32</f>
        <v>5000</v>
      </c>
      <c r="G35" s="13">
        <f>+'III. Costs'!O32</f>
        <v>0</v>
      </c>
      <c r="H35" s="13">
        <f>+'III. Costs'!P32</f>
        <v>0</v>
      </c>
      <c r="I35" s="13">
        <f>+'III. Costs'!Q32</f>
        <v>0</v>
      </c>
      <c r="J35" s="13">
        <f>+'III. Costs'!R32</f>
        <v>0</v>
      </c>
      <c r="K35" s="13">
        <f>+'III. Costs'!S32</f>
        <v>0</v>
      </c>
      <c r="L35" s="13">
        <f>+'III. Costs'!T32</f>
        <v>0</v>
      </c>
      <c r="M35" s="13">
        <f>+'III. Costs'!U32</f>
        <v>0</v>
      </c>
      <c r="N35" s="13">
        <f>+'III. Costs'!V32</f>
        <v>0</v>
      </c>
      <c r="O35" s="13">
        <f>+'III. Costs'!W32</f>
        <v>0</v>
      </c>
      <c r="P35" s="13">
        <f>+'III. Costs'!X32</f>
        <v>0</v>
      </c>
      <c r="Q35" s="13"/>
      <c r="R35" s="13"/>
      <c r="S35" s="13"/>
      <c r="T35" s="13"/>
      <c r="U35" s="13"/>
      <c r="V35" s="11"/>
      <c r="W35" s="11"/>
    </row>
    <row r="36" spans="1:23" s="6" customFormat="1" ht="14" thickBot="1" x14ac:dyDescent="0.2">
      <c r="B36" s="67"/>
      <c r="C36" s="67" t="s">
        <v>31</v>
      </c>
      <c r="D36" s="67"/>
      <c r="E36" s="67"/>
      <c r="F36" s="68">
        <f>+F35</f>
        <v>5000</v>
      </c>
      <c r="G36" s="69">
        <f>+G35+F36</f>
        <v>5000</v>
      </c>
      <c r="H36" s="69">
        <f t="shared" ref="H36:U36" si="12">+G36+H35</f>
        <v>5000</v>
      </c>
      <c r="I36" s="69">
        <f t="shared" si="12"/>
        <v>5000</v>
      </c>
      <c r="J36" s="69">
        <f t="shared" si="12"/>
        <v>5000</v>
      </c>
      <c r="K36" s="69">
        <f t="shared" si="12"/>
        <v>5000</v>
      </c>
      <c r="L36" s="69">
        <f t="shared" si="12"/>
        <v>5000</v>
      </c>
      <c r="M36" s="69">
        <f t="shared" si="12"/>
        <v>5000</v>
      </c>
      <c r="N36" s="69">
        <f t="shared" si="12"/>
        <v>5000</v>
      </c>
      <c r="O36" s="69">
        <f t="shared" si="12"/>
        <v>5000</v>
      </c>
      <c r="P36" s="69">
        <f t="shared" si="12"/>
        <v>5000</v>
      </c>
      <c r="Q36" s="69">
        <f t="shared" si="12"/>
        <v>5000</v>
      </c>
      <c r="R36" s="69">
        <f t="shared" si="12"/>
        <v>5000</v>
      </c>
      <c r="S36" s="69">
        <f t="shared" si="12"/>
        <v>5000</v>
      </c>
      <c r="T36" s="69">
        <f t="shared" si="12"/>
        <v>5000</v>
      </c>
      <c r="U36" s="69">
        <f t="shared" si="12"/>
        <v>5000</v>
      </c>
    </row>
    <row r="37" spans="1:23" s="6" customFormat="1" ht="13.5" customHeight="1" outlineLevel="1" thickTop="1" x14ac:dyDescent="0.15">
      <c r="B37" s="12"/>
      <c r="C37" s="70"/>
      <c r="D37" s="71">
        <f>+F34</f>
        <v>0</v>
      </c>
      <c r="E37" s="72">
        <f>+F36</f>
        <v>5000</v>
      </c>
      <c r="F37" s="13">
        <f t="shared" ref="F37:U46" si="13">IF(F$34=$D37,$E37/$D$33,IF(F$34&gt;=$D37+$D$33,0,IF(F$34&lt;$D37,0,$E37/$D$33)))</f>
        <v>714.28571428571433</v>
      </c>
      <c r="G37" s="13">
        <f t="shared" si="13"/>
        <v>714.28571428571433</v>
      </c>
      <c r="H37" s="13">
        <f t="shared" si="13"/>
        <v>714.28571428571433</v>
      </c>
      <c r="I37" s="13">
        <f t="shared" si="13"/>
        <v>714.28571428571433</v>
      </c>
      <c r="J37" s="13">
        <f t="shared" si="13"/>
        <v>714.28571428571433</v>
      </c>
      <c r="K37" s="13">
        <f t="shared" si="13"/>
        <v>714.28571428571433</v>
      </c>
      <c r="L37" s="13">
        <f t="shared" si="13"/>
        <v>714.28571428571433</v>
      </c>
      <c r="M37" s="13">
        <f t="shared" si="13"/>
        <v>0</v>
      </c>
      <c r="N37" s="13">
        <f t="shared" si="13"/>
        <v>0</v>
      </c>
      <c r="O37" s="13">
        <f t="shared" si="13"/>
        <v>0</v>
      </c>
      <c r="P37" s="13">
        <f t="shared" si="13"/>
        <v>0</v>
      </c>
      <c r="Q37" s="13">
        <f t="shared" si="13"/>
        <v>0</v>
      </c>
      <c r="R37" s="13">
        <f t="shared" si="13"/>
        <v>0</v>
      </c>
      <c r="S37" s="13">
        <f t="shared" si="13"/>
        <v>0</v>
      </c>
      <c r="T37" s="13">
        <f t="shared" si="13"/>
        <v>0</v>
      </c>
      <c r="U37" s="13">
        <f t="shared" si="13"/>
        <v>0</v>
      </c>
      <c r="V37" s="11"/>
      <c r="W37" s="12"/>
    </row>
    <row r="38" spans="1:23" s="6" customFormat="1" ht="12.75" customHeight="1" outlineLevel="1" x14ac:dyDescent="0.15">
      <c r="B38" s="12"/>
      <c r="C38" s="73"/>
      <c r="D38" s="71">
        <f>+G34</f>
        <v>1</v>
      </c>
      <c r="E38" s="72">
        <f>+G35</f>
        <v>0</v>
      </c>
      <c r="F38" s="13">
        <f t="shared" si="13"/>
        <v>0</v>
      </c>
      <c r="G38" s="13">
        <f t="shared" si="13"/>
        <v>0</v>
      </c>
      <c r="H38" s="13">
        <f t="shared" si="13"/>
        <v>0</v>
      </c>
      <c r="I38" s="13">
        <f t="shared" si="13"/>
        <v>0</v>
      </c>
      <c r="J38" s="13">
        <f t="shared" si="13"/>
        <v>0</v>
      </c>
      <c r="K38" s="13">
        <f t="shared" si="13"/>
        <v>0</v>
      </c>
      <c r="L38" s="13">
        <f t="shared" si="13"/>
        <v>0</v>
      </c>
      <c r="M38" s="13">
        <f t="shared" si="13"/>
        <v>0</v>
      </c>
      <c r="N38" s="13">
        <f t="shared" si="13"/>
        <v>0</v>
      </c>
      <c r="O38" s="13">
        <f t="shared" si="13"/>
        <v>0</v>
      </c>
      <c r="P38" s="13">
        <f t="shared" si="13"/>
        <v>0</v>
      </c>
      <c r="Q38" s="13">
        <f t="shared" si="13"/>
        <v>0</v>
      </c>
      <c r="R38" s="13">
        <f t="shared" si="13"/>
        <v>0</v>
      </c>
      <c r="S38" s="13">
        <f t="shared" si="13"/>
        <v>0</v>
      </c>
      <c r="T38" s="13">
        <f t="shared" si="13"/>
        <v>0</v>
      </c>
      <c r="U38" s="13">
        <f t="shared" si="13"/>
        <v>0</v>
      </c>
      <c r="V38" s="13"/>
    </row>
    <row r="39" spans="1:23" s="6" customFormat="1" ht="12.75" customHeight="1" outlineLevel="1" x14ac:dyDescent="0.15">
      <c r="B39" s="12"/>
      <c r="C39" s="73"/>
      <c r="D39" s="71">
        <f>+H34</f>
        <v>2</v>
      </c>
      <c r="E39" s="72">
        <f>+H35</f>
        <v>0</v>
      </c>
      <c r="F39" s="13">
        <f t="shared" si="13"/>
        <v>0</v>
      </c>
      <c r="G39" s="13">
        <f t="shared" si="13"/>
        <v>0</v>
      </c>
      <c r="H39" s="13">
        <f t="shared" si="13"/>
        <v>0</v>
      </c>
      <c r="I39" s="13">
        <f t="shared" si="13"/>
        <v>0</v>
      </c>
      <c r="J39" s="13">
        <f t="shared" si="13"/>
        <v>0</v>
      </c>
      <c r="K39" s="13">
        <f t="shared" si="13"/>
        <v>0</v>
      </c>
      <c r="L39" s="13">
        <f t="shared" si="13"/>
        <v>0</v>
      </c>
      <c r="M39" s="13">
        <f t="shared" si="13"/>
        <v>0</v>
      </c>
      <c r="N39" s="13">
        <f t="shared" si="13"/>
        <v>0</v>
      </c>
      <c r="O39" s="13">
        <f t="shared" si="13"/>
        <v>0</v>
      </c>
      <c r="P39" s="13">
        <f t="shared" si="13"/>
        <v>0</v>
      </c>
      <c r="Q39" s="13">
        <f t="shared" si="13"/>
        <v>0</v>
      </c>
      <c r="R39" s="13">
        <f t="shared" si="13"/>
        <v>0</v>
      </c>
      <c r="S39" s="13">
        <f t="shared" si="13"/>
        <v>0</v>
      </c>
      <c r="T39" s="13">
        <f t="shared" si="13"/>
        <v>0</v>
      </c>
      <c r="U39" s="13">
        <f t="shared" si="13"/>
        <v>0</v>
      </c>
      <c r="V39" s="13"/>
    </row>
    <row r="40" spans="1:23" s="6" customFormat="1" ht="12.75" customHeight="1" outlineLevel="1" x14ac:dyDescent="0.15">
      <c r="B40" s="12"/>
      <c r="C40" s="73"/>
      <c r="D40" s="71">
        <f>+I34</f>
        <v>3</v>
      </c>
      <c r="E40" s="72">
        <f>+I35</f>
        <v>0</v>
      </c>
      <c r="F40" s="13">
        <f t="shared" si="13"/>
        <v>0</v>
      </c>
      <c r="G40" s="13">
        <f t="shared" si="13"/>
        <v>0</v>
      </c>
      <c r="H40" s="13">
        <f t="shared" si="13"/>
        <v>0</v>
      </c>
      <c r="I40" s="13">
        <f t="shared" si="13"/>
        <v>0</v>
      </c>
      <c r="J40" s="13">
        <f t="shared" si="13"/>
        <v>0</v>
      </c>
      <c r="K40" s="13">
        <f t="shared" si="13"/>
        <v>0</v>
      </c>
      <c r="L40" s="13">
        <f t="shared" si="13"/>
        <v>0</v>
      </c>
      <c r="M40" s="13">
        <f t="shared" si="13"/>
        <v>0</v>
      </c>
      <c r="N40" s="13">
        <f t="shared" si="13"/>
        <v>0</v>
      </c>
      <c r="O40" s="13">
        <f t="shared" si="13"/>
        <v>0</v>
      </c>
      <c r="P40" s="13">
        <f t="shared" si="13"/>
        <v>0</v>
      </c>
      <c r="Q40" s="13">
        <f t="shared" si="13"/>
        <v>0</v>
      </c>
      <c r="R40" s="13">
        <f t="shared" si="13"/>
        <v>0</v>
      </c>
      <c r="S40" s="13">
        <f t="shared" si="13"/>
        <v>0</v>
      </c>
      <c r="T40" s="13">
        <f t="shared" si="13"/>
        <v>0</v>
      </c>
      <c r="U40" s="13">
        <f t="shared" si="13"/>
        <v>0</v>
      </c>
      <c r="V40" s="13"/>
    </row>
    <row r="41" spans="1:23" s="6" customFormat="1" ht="12.75" customHeight="1" outlineLevel="1" x14ac:dyDescent="0.15">
      <c r="B41" s="12"/>
      <c r="C41" s="73"/>
      <c r="D41" s="71">
        <f>+J34</f>
        <v>4</v>
      </c>
      <c r="E41" s="72">
        <f>+J35</f>
        <v>0</v>
      </c>
      <c r="F41" s="13">
        <f t="shared" si="13"/>
        <v>0</v>
      </c>
      <c r="G41" s="13">
        <f t="shared" si="13"/>
        <v>0</v>
      </c>
      <c r="H41" s="13">
        <f t="shared" si="13"/>
        <v>0</v>
      </c>
      <c r="I41" s="13">
        <f t="shared" si="13"/>
        <v>0</v>
      </c>
      <c r="J41" s="13">
        <f t="shared" si="13"/>
        <v>0</v>
      </c>
      <c r="K41" s="13">
        <f t="shared" si="13"/>
        <v>0</v>
      </c>
      <c r="L41" s="13">
        <f t="shared" si="13"/>
        <v>0</v>
      </c>
      <c r="M41" s="13">
        <f t="shared" si="13"/>
        <v>0</v>
      </c>
      <c r="N41" s="13">
        <f t="shared" si="13"/>
        <v>0</v>
      </c>
      <c r="O41" s="13">
        <f t="shared" si="13"/>
        <v>0</v>
      </c>
      <c r="P41" s="13">
        <f t="shared" si="13"/>
        <v>0</v>
      </c>
      <c r="Q41" s="13">
        <f t="shared" si="13"/>
        <v>0</v>
      </c>
      <c r="R41" s="13">
        <f t="shared" si="13"/>
        <v>0</v>
      </c>
      <c r="S41" s="13">
        <f t="shared" si="13"/>
        <v>0</v>
      </c>
      <c r="T41" s="13">
        <f t="shared" si="13"/>
        <v>0</v>
      </c>
      <c r="U41" s="13">
        <f t="shared" si="13"/>
        <v>0</v>
      </c>
      <c r="V41" s="13"/>
    </row>
    <row r="42" spans="1:23" s="6" customFormat="1" ht="12.75" customHeight="1" outlineLevel="1" x14ac:dyDescent="0.15">
      <c r="B42" s="12"/>
      <c r="C42" s="73"/>
      <c r="D42" s="71">
        <f>+K34</f>
        <v>5</v>
      </c>
      <c r="E42" s="72">
        <f>+K35</f>
        <v>0</v>
      </c>
      <c r="F42" s="13">
        <f t="shared" si="13"/>
        <v>0</v>
      </c>
      <c r="G42" s="13">
        <f t="shared" si="13"/>
        <v>0</v>
      </c>
      <c r="H42" s="13">
        <f t="shared" si="13"/>
        <v>0</v>
      </c>
      <c r="I42" s="13">
        <f t="shared" si="13"/>
        <v>0</v>
      </c>
      <c r="J42" s="13">
        <f t="shared" si="13"/>
        <v>0</v>
      </c>
      <c r="K42" s="13">
        <f t="shared" si="13"/>
        <v>0</v>
      </c>
      <c r="L42" s="13">
        <f t="shared" si="13"/>
        <v>0</v>
      </c>
      <c r="M42" s="13">
        <f t="shared" si="13"/>
        <v>0</v>
      </c>
      <c r="N42" s="13">
        <f t="shared" si="13"/>
        <v>0</v>
      </c>
      <c r="O42" s="13">
        <f t="shared" si="13"/>
        <v>0</v>
      </c>
      <c r="P42" s="13">
        <f t="shared" si="13"/>
        <v>0</v>
      </c>
      <c r="Q42" s="13">
        <f t="shared" si="13"/>
        <v>0</v>
      </c>
      <c r="R42" s="13">
        <f t="shared" si="13"/>
        <v>0</v>
      </c>
      <c r="S42" s="13">
        <f t="shared" si="13"/>
        <v>0</v>
      </c>
      <c r="T42" s="13">
        <f t="shared" si="13"/>
        <v>0</v>
      </c>
      <c r="U42" s="13">
        <f t="shared" si="13"/>
        <v>0</v>
      </c>
      <c r="V42" s="13"/>
    </row>
    <row r="43" spans="1:23" s="6" customFormat="1" ht="12.75" customHeight="1" outlineLevel="1" x14ac:dyDescent="0.15">
      <c r="B43" s="12"/>
      <c r="C43" s="73"/>
      <c r="D43" s="71">
        <f>+L34</f>
        <v>6</v>
      </c>
      <c r="E43" s="72">
        <f>+L35</f>
        <v>0</v>
      </c>
      <c r="F43" s="13">
        <f t="shared" si="13"/>
        <v>0</v>
      </c>
      <c r="G43" s="13">
        <f t="shared" si="13"/>
        <v>0</v>
      </c>
      <c r="H43" s="13">
        <f t="shared" si="13"/>
        <v>0</v>
      </c>
      <c r="I43" s="13">
        <f t="shared" si="13"/>
        <v>0</v>
      </c>
      <c r="J43" s="13">
        <f t="shared" si="13"/>
        <v>0</v>
      </c>
      <c r="K43" s="13">
        <f t="shared" si="13"/>
        <v>0</v>
      </c>
      <c r="L43" s="13">
        <f t="shared" si="13"/>
        <v>0</v>
      </c>
      <c r="M43" s="13">
        <f t="shared" si="13"/>
        <v>0</v>
      </c>
      <c r="N43" s="13">
        <f t="shared" si="13"/>
        <v>0</v>
      </c>
      <c r="O43" s="13">
        <f t="shared" si="13"/>
        <v>0</v>
      </c>
      <c r="P43" s="13">
        <f t="shared" si="13"/>
        <v>0</v>
      </c>
      <c r="Q43" s="13">
        <f t="shared" si="13"/>
        <v>0</v>
      </c>
      <c r="R43" s="13">
        <f t="shared" si="13"/>
        <v>0</v>
      </c>
      <c r="S43" s="13">
        <f t="shared" si="13"/>
        <v>0</v>
      </c>
      <c r="T43" s="13">
        <f t="shared" si="13"/>
        <v>0</v>
      </c>
      <c r="U43" s="13">
        <f t="shared" si="13"/>
        <v>0</v>
      </c>
      <c r="V43" s="13"/>
    </row>
    <row r="44" spans="1:23" s="6" customFormat="1" ht="12.75" customHeight="1" outlineLevel="1" x14ac:dyDescent="0.15">
      <c r="B44" s="12"/>
      <c r="C44" s="73"/>
      <c r="D44" s="71">
        <f>+M34</f>
        <v>7</v>
      </c>
      <c r="E44" s="72">
        <f>+M35</f>
        <v>0</v>
      </c>
      <c r="F44" s="13">
        <f t="shared" si="13"/>
        <v>0</v>
      </c>
      <c r="G44" s="13">
        <f t="shared" si="13"/>
        <v>0</v>
      </c>
      <c r="H44" s="13">
        <f t="shared" si="13"/>
        <v>0</v>
      </c>
      <c r="I44" s="13">
        <f t="shared" si="13"/>
        <v>0</v>
      </c>
      <c r="J44" s="13">
        <f t="shared" si="13"/>
        <v>0</v>
      </c>
      <c r="K44" s="13">
        <f t="shared" si="13"/>
        <v>0</v>
      </c>
      <c r="L44" s="13">
        <f t="shared" si="13"/>
        <v>0</v>
      </c>
      <c r="M44" s="13">
        <f t="shared" si="13"/>
        <v>0</v>
      </c>
      <c r="N44" s="13">
        <f t="shared" si="13"/>
        <v>0</v>
      </c>
      <c r="O44" s="13">
        <f t="shared" si="13"/>
        <v>0</v>
      </c>
      <c r="P44" s="13">
        <f t="shared" si="13"/>
        <v>0</v>
      </c>
      <c r="Q44" s="13">
        <f t="shared" si="13"/>
        <v>0</v>
      </c>
      <c r="R44" s="13">
        <f t="shared" si="13"/>
        <v>0</v>
      </c>
      <c r="S44" s="13">
        <f t="shared" si="13"/>
        <v>0</v>
      </c>
      <c r="T44" s="13">
        <f t="shared" si="13"/>
        <v>0</v>
      </c>
      <c r="U44" s="13">
        <f t="shared" si="13"/>
        <v>0</v>
      </c>
      <c r="V44" s="13"/>
    </row>
    <row r="45" spans="1:23" s="6" customFormat="1" ht="12.75" customHeight="1" outlineLevel="1" x14ac:dyDescent="0.15">
      <c r="B45" s="12"/>
      <c r="C45" s="73"/>
      <c r="D45" s="71">
        <f>+N34</f>
        <v>8</v>
      </c>
      <c r="E45" s="72">
        <f>+N35</f>
        <v>0</v>
      </c>
      <c r="F45" s="13">
        <f t="shared" si="13"/>
        <v>0</v>
      </c>
      <c r="G45" s="13">
        <f t="shared" si="13"/>
        <v>0</v>
      </c>
      <c r="H45" s="13">
        <f t="shared" si="13"/>
        <v>0</v>
      </c>
      <c r="I45" s="13">
        <f t="shared" si="13"/>
        <v>0</v>
      </c>
      <c r="J45" s="13">
        <f t="shared" si="13"/>
        <v>0</v>
      </c>
      <c r="K45" s="13">
        <f t="shared" si="13"/>
        <v>0</v>
      </c>
      <c r="L45" s="13">
        <f t="shared" si="13"/>
        <v>0</v>
      </c>
      <c r="M45" s="13">
        <f t="shared" si="13"/>
        <v>0</v>
      </c>
      <c r="N45" s="13">
        <f t="shared" si="13"/>
        <v>0</v>
      </c>
      <c r="O45" s="13">
        <f t="shared" si="13"/>
        <v>0</v>
      </c>
      <c r="P45" s="13">
        <f t="shared" si="13"/>
        <v>0</v>
      </c>
      <c r="Q45" s="13">
        <f t="shared" si="13"/>
        <v>0</v>
      </c>
      <c r="R45" s="13">
        <f t="shared" si="13"/>
        <v>0</v>
      </c>
      <c r="S45" s="13">
        <f t="shared" si="13"/>
        <v>0</v>
      </c>
      <c r="T45" s="13">
        <f t="shared" si="13"/>
        <v>0</v>
      </c>
      <c r="U45" s="13">
        <f t="shared" si="13"/>
        <v>0</v>
      </c>
      <c r="V45" s="13"/>
    </row>
    <row r="46" spans="1:23" s="6" customFormat="1" ht="12.75" customHeight="1" outlineLevel="1" x14ac:dyDescent="0.15">
      <c r="B46" s="12"/>
      <c r="C46" s="73"/>
      <c r="D46" s="71">
        <f>+O34</f>
        <v>9</v>
      </c>
      <c r="E46" s="72">
        <f>+O35</f>
        <v>0</v>
      </c>
      <c r="F46" s="13">
        <f t="shared" si="13"/>
        <v>0</v>
      </c>
      <c r="G46" s="13">
        <f t="shared" si="13"/>
        <v>0</v>
      </c>
      <c r="H46" s="13">
        <f t="shared" si="13"/>
        <v>0</v>
      </c>
      <c r="I46" s="13">
        <f t="shared" si="13"/>
        <v>0</v>
      </c>
      <c r="J46" s="13">
        <f t="shared" si="13"/>
        <v>0</v>
      </c>
      <c r="K46" s="13">
        <f t="shared" si="13"/>
        <v>0</v>
      </c>
      <c r="L46" s="13">
        <f t="shared" si="13"/>
        <v>0</v>
      </c>
      <c r="M46" s="13">
        <f t="shared" si="13"/>
        <v>0</v>
      </c>
      <c r="N46" s="13">
        <f t="shared" si="13"/>
        <v>0</v>
      </c>
      <c r="O46" s="13">
        <f t="shared" si="13"/>
        <v>0</v>
      </c>
      <c r="P46" s="13">
        <f t="shared" si="13"/>
        <v>0</v>
      </c>
      <c r="Q46" s="13">
        <f t="shared" si="13"/>
        <v>0</v>
      </c>
      <c r="R46" s="13">
        <f t="shared" si="13"/>
        <v>0</v>
      </c>
      <c r="S46" s="13">
        <f t="shared" si="13"/>
        <v>0</v>
      </c>
      <c r="T46" s="13">
        <f t="shared" si="13"/>
        <v>0</v>
      </c>
      <c r="U46" s="13">
        <f t="shared" si="13"/>
        <v>0</v>
      </c>
      <c r="V46" s="13"/>
    </row>
    <row r="47" spans="1:23" s="6" customFormat="1" ht="12.75" customHeight="1" outlineLevel="1" x14ac:dyDescent="0.15">
      <c r="B47" s="65"/>
      <c r="C47" s="73"/>
      <c r="D47" s="71">
        <f>+P34</f>
        <v>10</v>
      </c>
      <c r="E47" s="72">
        <f>+P35</f>
        <v>0</v>
      </c>
      <c r="F47" s="13">
        <f t="shared" ref="F47:U52" si="14">IF(F$34=$D47,$E47/$D$33,IF(F$34&gt;=$D47+$D$33,0,IF(F$34&lt;$D47,0,$E47/$D$33)))</f>
        <v>0</v>
      </c>
      <c r="G47" s="13">
        <f t="shared" si="14"/>
        <v>0</v>
      </c>
      <c r="H47" s="13">
        <f t="shared" si="14"/>
        <v>0</v>
      </c>
      <c r="I47" s="13">
        <f t="shared" si="14"/>
        <v>0</v>
      </c>
      <c r="J47" s="13">
        <f t="shared" si="14"/>
        <v>0</v>
      </c>
      <c r="K47" s="13">
        <f t="shared" si="14"/>
        <v>0</v>
      </c>
      <c r="L47" s="13">
        <f t="shared" si="14"/>
        <v>0</v>
      </c>
      <c r="M47" s="13">
        <f t="shared" si="14"/>
        <v>0</v>
      </c>
      <c r="N47" s="13">
        <f t="shared" si="14"/>
        <v>0</v>
      </c>
      <c r="O47" s="13">
        <f t="shared" si="14"/>
        <v>0</v>
      </c>
      <c r="P47" s="13">
        <f t="shared" si="14"/>
        <v>0</v>
      </c>
      <c r="Q47" s="13">
        <f t="shared" si="14"/>
        <v>0</v>
      </c>
      <c r="R47" s="13">
        <f t="shared" si="14"/>
        <v>0</v>
      </c>
      <c r="S47" s="13">
        <f t="shared" si="14"/>
        <v>0</v>
      </c>
      <c r="T47" s="13">
        <f t="shared" si="14"/>
        <v>0</v>
      </c>
      <c r="U47" s="13">
        <f t="shared" si="14"/>
        <v>0</v>
      </c>
      <c r="V47" s="13"/>
    </row>
    <row r="48" spans="1:23" s="6" customFormat="1" ht="12.75" customHeight="1" outlineLevel="1" x14ac:dyDescent="0.15">
      <c r="B48" s="12"/>
      <c r="C48" s="73"/>
      <c r="D48" s="71">
        <f>+Q34</f>
        <v>11</v>
      </c>
      <c r="E48" s="72">
        <f>+Q35</f>
        <v>0</v>
      </c>
      <c r="F48" s="13">
        <f t="shared" si="14"/>
        <v>0</v>
      </c>
      <c r="G48" s="13">
        <f t="shared" si="14"/>
        <v>0</v>
      </c>
      <c r="H48" s="13">
        <f t="shared" si="14"/>
        <v>0</v>
      </c>
      <c r="I48" s="13">
        <f t="shared" si="14"/>
        <v>0</v>
      </c>
      <c r="J48" s="13">
        <f t="shared" si="14"/>
        <v>0</v>
      </c>
      <c r="K48" s="13">
        <f t="shared" si="14"/>
        <v>0</v>
      </c>
      <c r="L48" s="13">
        <f t="shared" si="14"/>
        <v>0</v>
      </c>
      <c r="M48" s="13">
        <f t="shared" si="14"/>
        <v>0</v>
      </c>
      <c r="N48" s="13">
        <f t="shared" si="14"/>
        <v>0</v>
      </c>
      <c r="O48" s="13">
        <f t="shared" si="14"/>
        <v>0</v>
      </c>
      <c r="P48" s="13">
        <f t="shared" si="14"/>
        <v>0</v>
      </c>
      <c r="Q48" s="13">
        <f t="shared" si="14"/>
        <v>0</v>
      </c>
      <c r="R48" s="13">
        <f t="shared" si="14"/>
        <v>0</v>
      </c>
      <c r="S48" s="13">
        <f t="shared" si="14"/>
        <v>0</v>
      </c>
      <c r="T48" s="13">
        <f t="shared" si="14"/>
        <v>0</v>
      </c>
      <c r="U48" s="13">
        <f t="shared" si="14"/>
        <v>0</v>
      </c>
      <c r="V48" s="13"/>
    </row>
    <row r="49" spans="2:23" s="6" customFormat="1" ht="12.75" customHeight="1" outlineLevel="1" x14ac:dyDescent="0.15">
      <c r="B49" s="12"/>
      <c r="C49" s="73"/>
      <c r="D49" s="71">
        <f>+R34</f>
        <v>12</v>
      </c>
      <c r="E49" s="72">
        <f>+R35</f>
        <v>0</v>
      </c>
      <c r="F49" s="13">
        <f t="shared" si="14"/>
        <v>0</v>
      </c>
      <c r="G49" s="13">
        <f t="shared" si="14"/>
        <v>0</v>
      </c>
      <c r="H49" s="13">
        <f t="shared" si="14"/>
        <v>0</v>
      </c>
      <c r="I49" s="13">
        <f t="shared" si="14"/>
        <v>0</v>
      </c>
      <c r="J49" s="13">
        <f t="shared" si="14"/>
        <v>0</v>
      </c>
      <c r="K49" s="13">
        <f t="shared" si="14"/>
        <v>0</v>
      </c>
      <c r="L49" s="13">
        <f t="shared" si="14"/>
        <v>0</v>
      </c>
      <c r="M49" s="13">
        <f t="shared" si="14"/>
        <v>0</v>
      </c>
      <c r="N49" s="13">
        <f t="shared" si="14"/>
        <v>0</v>
      </c>
      <c r="O49" s="13">
        <f t="shared" si="14"/>
        <v>0</v>
      </c>
      <c r="P49" s="13">
        <f t="shared" si="14"/>
        <v>0</v>
      </c>
      <c r="Q49" s="13">
        <f t="shared" si="14"/>
        <v>0</v>
      </c>
      <c r="R49" s="13">
        <f t="shared" si="14"/>
        <v>0</v>
      </c>
      <c r="S49" s="13">
        <f t="shared" si="14"/>
        <v>0</v>
      </c>
      <c r="T49" s="13">
        <f t="shared" si="14"/>
        <v>0</v>
      </c>
      <c r="U49" s="13">
        <f t="shared" si="14"/>
        <v>0</v>
      </c>
      <c r="V49" s="13"/>
    </row>
    <row r="50" spans="2:23" s="6" customFormat="1" ht="12.75" customHeight="1" outlineLevel="1" x14ac:dyDescent="0.15">
      <c r="B50" s="12"/>
      <c r="C50" s="73"/>
      <c r="D50" s="71">
        <f>+S34</f>
        <v>13</v>
      </c>
      <c r="E50" s="72">
        <f>+S35</f>
        <v>0</v>
      </c>
      <c r="F50" s="13">
        <f t="shared" si="14"/>
        <v>0</v>
      </c>
      <c r="G50" s="13">
        <f t="shared" si="14"/>
        <v>0</v>
      </c>
      <c r="H50" s="13">
        <f t="shared" si="14"/>
        <v>0</v>
      </c>
      <c r="I50" s="13">
        <f t="shared" si="14"/>
        <v>0</v>
      </c>
      <c r="J50" s="13">
        <f t="shared" si="14"/>
        <v>0</v>
      </c>
      <c r="K50" s="13">
        <f t="shared" si="14"/>
        <v>0</v>
      </c>
      <c r="L50" s="13">
        <f t="shared" si="14"/>
        <v>0</v>
      </c>
      <c r="M50" s="13">
        <f t="shared" si="14"/>
        <v>0</v>
      </c>
      <c r="N50" s="13">
        <f t="shared" si="14"/>
        <v>0</v>
      </c>
      <c r="O50" s="13">
        <f t="shared" si="14"/>
        <v>0</v>
      </c>
      <c r="P50" s="13">
        <f t="shared" si="14"/>
        <v>0</v>
      </c>
      <c r="Q50" s="13">
        <f t="shared" si="14"/>
        <v>0</v>
      </c>
      <c r="R50" s="13">
        <f t="shared" si="14"/>
        <v>0</v>
      </c>
      <c r="S50" s="13">
        <f t="shared" si="14"/>
        <v>0</v>
      </c>
      <c r="T50" s="13">
        <f t="shared" si="14"/>
        <v>0</v>
      </c>
      <c r="U50" s="13">
        <f t="shared" si="14"/>
        <v>0</v>
      </c>
      <c r="V50" s="13"/>
    </row>
    <row r="51" spans="2:23" s="6" customFormat="1" ht="12.75" customHeight="1" outlineLevel="1" x14ac:dyDescent="0.15">
      <c r="B51" s="12"/>
      <c r="C51" s="73"/>
      <c r="D51" s="71">
        <f>+T34</f>
        <v>14</v>
      </c>
      <c r="E51" s="72">
        <f>+T35</f>
        <v>0</v>
      </c>
      <c r="F51" s="13">
        <f t="shared" si="14"/>
        <v>0</v>
      </c>
      <c r="G51" s="13">
        <f t="shared" si="14"/>
        <v>0</v>
      </c>
      <c r="H51" s="13">
        <f t="shared" si="14"/>
        <v>0</v>
      </c>
      <c r="I51" s="13">
        <f t="shared" si="14"/>
        <v>0</v>
      </c>
      <c r="J51" s="13">
        <f t="shared" si="14"/>
        <v>0</v>
      </c>
      <c r="K51" s="13">
        <f t="shared" si="14"/>
        <v>0</v>
      </c>
      <c r="L51" s="13">
        <f t="shared" si="14"/>
        <v>0</v>
      </c>
      <c r="M51" s="13">
        <f t="shared" si="14"/>
        <v>0</v>
      </c>
      <c r="N51" s="13">
        <f t="shared" si="14"/>
        <v>0</v>
      </c>
      <c r="O51" s="13">
        <f t="shared" si="14"/>
        <v>0</v>
      </c>
      <c r="P51" s="13">
        <f t="shared" si="14"/>
        <v>0</v>
      </c>
      <c r="Q51" s="13">
        <f t="shared" si="14"/>
        <v>0</v>
      </c>
      <c r="R51" s="13">
        <f t="shared" si="14"/>
        <v>0</v>
      </c>
      <c r="S51" s="13">
        <f t="shared" si="14"/>
        <v>0</v>
      </c>
      <c r="T51" s="13">
        <f t="shared" si="14"/>
        <v>0</v>
      </c>
      <c r="U51" s="13">
        <f t="shared" si="14"/>
        <v>0</v>
      </c>
      <c r="V51" s="13"/>
      <c r="W51" s="13"/>
    </row>
    <row r="52" spans="2:23" s="6" customFormat="1" ht="12.75" customHeight="1" outlineLevel="1" x14ac:dyDescent="0.15">
      <c r="B52" s="12"/>
      <c r="C52" s="73"/>
      <c r="D52" s="71">
        <f>+U34</f>
        <v>15</v>
      </c>
      <c r="E52" s="72">
        <f>+U35</f>
        <v>0</v>
      </c>
      <c r="F52" s="13">
        <f t="shared" si="14"/>
        <v>0</v>
      </c>
      <c r="G52" s="13">
        <f t="shared" si="14"/>
        <v>0</v>
      </c>
      <c r="H52" s="13">
        <f t="shared" si="14"/>
        <v>0</v>
      </c>
      <c r="I52" s="13">
        <f t="shared" si="14"/>
        <v>0</v>
      </c>
      <c r="J52" s="13">
        <f t="shared" si="14"/>
        <v>0</v>
      </c>
      <c r="K52" s="13">
        <f t="shared" si="14"/>
        <v>0</v>
      </c>
      <c r="L52" s="13">
        <f t="shared" si="14"/>
        <v>0</v>
      </c>
      <c r="M52" s="13">
        <f t="shared" si="14"/>
        <v>0</v>
      </c>
      <c r="N52" s="13">
        <f t="shared" si="14"/>
        <v>0</v>
      </c>
      <c r="O52" s="13">
        <f t="shared" si="14"/>
        <v>0</v>
      </c>
      <c r="P52" s="13">
        <f t="shared" si="14"/>
        <v>0</v>
      </c>
      <c r="Q52" s="13">
        <f t="shared" si="14"/>
        <v>0</v>
      </c>
      <c r="R52" s="13">
        <f t="shared" si="14"/>
        <v>0</v>
      </c>
      <c r="S52" s="13">
        <f t="shared" si="14"/>
        <v>0</v>
      </c>
      <c r="T52" s="13">
        <f t="shared" si="14"/>
        <v>0</v>
      </c>
      <c r="U52" s="13">
        <f t="shared" si="14"/>
        <v>0</v>
      </c>
      <c r="V52" s="13"/>
      <c r="W52" s="13"/>
    </row>
    <row r="53" spans="2:23" s="6" customFormat="1" x14ac:dyDescent="0.15">
      <c r="C53" s="65" t="s">
        <v>30</v>
      </c>
      <c r="F53" s="13">
        <f>IF(F$9=$D53,$E53/$D$8,IF(F$9&gt;=$D53+$D$8,0,IF(F$9&lt;$D53,0,$E53/$D$8)))</f>
        <v>0</v>
      </c>
      <c r="G53" s="13">
        <f>+G36-G54</f>
        <v>3571.4285714285716</v>
      </c>
      <c r="H53" s="13">
        <f t="shared" ref="H53" si="15">+H36-H54</f>
        <v>2857.1428571428569</v>
      </c>
      <c r="I53" s="13">
        <f t="shared" ref="I53" si="16">+I36-I54</f>
        <v>2142.8571428571427</v>
      </c>
      <c r="J53" s="13">
        <f t="shared" ref="J53" si="17">+J36-J54</f>
        <v>1428.5714285714284</v>
      </c>
      <c r="K53" s="13">
        <f t="shared" ref="K53" si="18">+K36-K54</f>
        <v>714.28571428571377</v>
      </c>
      <c r="L53" s="13">
        <f t="shared" ref="L53" si="19">+L36-L54</f>
        <v>0</v>
      </c>
      <c r="M53" s="13">
        <f t="shared" ref="M53" si="20">+M36-M54</f>
        <v>0</v>
      </c>
      <c r="N53" s="13">
        <f t="shared" ref="N53" si="21">+N36-N54</f>
        <v>0</v>
      </c>
      <c r="O53" s="13">
        <f t="shared" ref="O53" si="22">+O36-O54</f>
        <v>0</v>
      </c>
      <c r="P53" s="13">
        <f t="shared" ref="P53" si="23">+P36-P54</f>
        <v>0</v>
      </c>
      <c r="Q53" s="13">
        <f t="shared" ref="Q53" si="24">+Q36-Q54</f>
        <v>0</v>
      </c>
      <c r="R53" s="13">
        <f t="shared" ref="R53" si="25">+R36-R54</f>
        <v>0</v>
      </c>
      <c r="S53" s="13">
        <f t="shared" ref="S53" si="26">+S36-S54</f>
        <v>0</v>
      </c>
      <c r="T53" s="13">
        <f t="shared" ref="T53" si="27">+T36-T54</f>
        <v>0</v>
      </c>
      <c r="U53" s="13">
        <f t="shared" ref="U53" si="28">+U36-U54</f>
        <v>0</v>
      </c>
      <c r="V53" s="8"/>
    </row>
    <row r="54" spans="2:23" s="6" customFormat="1" outlineLevel="1" x14ac:dyDescent="0.15">
      <c r="B54" s="12"/>
      <c r="C54" s="65" t="s">
        <v>17</v>
      </c>
      <c r="D54" s="74"/>
      <c r="E54" s="72"/>
      <c r="F54" s="13"/>
      <c r="G54" s="13">
        <f>+G55+F55</f>
        <v>1428.5714285714287</v>
      </c>
      <c r="H54" s="13">
        <f t="shared" ref="H54:U54" si="29">+H55+G54</f>
        <v>2142.8571428571431</v>
      </c>
      <c r="I54" s="13">
        <f t="shared" si="29"/>
        <v>2857.1428571428573</v>
      </c>
      <c r="J54" s="13">
        <f t="shared" si="29"/>
        <v>3571.4285714285716</v>
      </c>
      <c r="K54" s="13">
        <f t="shared" si="29"/>
        <v>4285.7142857142862</v>
      </c>
      <c r="L54" s="13">
        <f t="shared" si="29"/>
        <v>5000.0000000000009</v>
      </c>
      <c r="M54" s="13">
        <f t="shared" si="29"/>
        <v>5000.0000000000009</v>
      </c>
      <c r="N54" s="13">
        <f t="shared" si="29"/>
        <v>5000.0000000000009</v>
      </c>
      <c r="O54" s="13">
        <f t="shared" si="29"/>
        <v>5000.0000000000009</v>
      </c>
      <c r="P54" s="13">
        <f t="shared" si="29"/>
        <v>5000.0000000000009</v>
      </c>
      <c r="Q54" s="13">
        <f t="shared" si="29"/>
        <v>5000.0000000000009</v>
      </c>
      <c r="R54" s="13">
        <f t="shared" si="29"/>
        <v>5000.0000000000009</v>
      </c>
      <c r="S54" s="13">
        <f t="shared" si="29"/>
        <v>5000.0000000000009</v>
      </c>
      <c r="T54" s="13">
        <f t="shared" si="29"/>
        <v>5000.0000000000009</v>
      </c>
      <c r="U54" s="13">
        <f t="shared" si="29"/>
        <v>5000.0000000000009</v>
      </c>
    </row>
    <row r="55" spans="2:23" s="9" customFormat="1" x14ac:dyDescent="0.15">
      <c r="C55" s="65" t="s">
        <v>2</v>
      </c>
      <c r="F55" s="13">
        <f t="shared" ref="F55:U55" si="30">SUM(F37:F52)</f>
        <v>714.28571428571433</v>
      </c>
      <c r="G55" s="13">
        <f t="shared" si="30"/>
        <v>714.28571428571433</v>
      </c>
      <c r="H55" s="13">
        <f t="shared" si="30"/>
        <v>714.28571428571433</v>
      </c>
      <c r="I55" s="13">
        <f t="shared" si="30"/>
        <v>714.28571428571433</v>
      </c>
      <c r="J55" s="13">
        <f t="shared" si="30"/>
        <v>714.28571428571433</v>
      </c>
      <c r="K55" s="13">
        <f t="shared" si="30"/>
        <v>714.28571428571433</v>
      </c>
      <c r="L55" s="13">
        <f t="shared" si="30"/>
        <v>714.28571428571433</v>
      </c>
      <c r="M55" s="13">
        <f t="shared" si="30"/>
        <v>0</v>
      </c>
      <c r="N55" s="13">
        <f t="shared" si="30"/>
        <v>0</v>
      </c>
      <c r="O55" s="13">
        <f t="shared" si="30"/>
        <v>0</v>
      </c>
      <c r="P55" s="13">
        <f t="shared" si="30"/>
        <v>0</v>
      </c>
      <c r="Q55" s="13">
        <f t="shared" si="30"/>
        <v>0</v>
      </c>
      <c r="R55" s="13">
        <f t="shared" si="30"/>
        <v>0</v>
      </c>
      <c r="S55" s="13">
        <f t="shared" si="30"/>
        <v>0</v>
      </c>
      <c r="T55" s="13">
        <f t="shared" si="30"/>
        <v>0</v>
      </c>
      <c r="U55" s="13">
        <f t="shared" si="30"/>
        <v>0</v>
      </c>
    </row>
    <row r="56" spans="2:23" s="6" customFormat="1" x14ac:dyDescent="0.15"/>
    <row r="57" spans="2:23" s="6" customFormat="1" x14ac:dyDescent="0.15"/>
    <row r="58" spans="2:23" s="6" customFormat="1" x14ac:dyDescent="0.15"/>
    <row r="59" spans="2:23" s="6" customFormat="1" x14ac:dyDescent="0.15"/>
    <row r="60" spans="2:23" s="6" customFormat="1" ht="14" thickBot="1" x14ac:dyDescent="0.2"/>
    <row r="61" spans="2:23" s="6" customFormat="1" ht="14" thickBot="1" x14ac:dyDescent="0.2">
      <c r="B61" s="75" t="s">
        <v>19</v>
      </c>
      <c r="C61" s="76"/>
      <c r="D61" s="77"/>
      <c r="E61" s="77"/>
      <c r="F61" s="78">
        <f t="shared" ref="F61:U61" si="31">+F55+F30</f>
        <v>20714.285714285714</v>
      </c>
      <c r="G61" s="78">
        <f t="shared" si="31"/>
        <v>24714.285714285714</v>
      </c>
      <c r="H61" s="78">
        <f t="shared" si="31"/>
        <v>24714.285714285714</v>
      </c>
      <c r="I61" s="78">
        <f t="shared" si="31"/>
        <v>24714.285714285714</v>
      </c>
      <c r="J61" s="78">
        <f t="shared" si="31"/>
        <v>24714.285714285714</v>
      </c>
      <c r="K61" s="78">
        <f t="shared" si="31"/>
        <v>4714.2857142857147</v>
      </c>
      <c r="L61" s="78">
        <f t="shared" si="31"/>
        <v>714.28571428571433</v>
      </c>
      <c r="M61" s="78">
        <f t="shared" si="31"/>
        <v>0</v>
      </c>
      <c r="N61" s="78">
        <f t="shared" si="31"/>
        <v>10000</v>
      </c>
      <c r="O61" s="78">
        <f t="shared" si="31"/>
        <v>10000</v>
      </c>
      <c r="P61" s="78">
        <f t="shared" si="31"/>
        <v>10000</v>
      </c>
      <c r="Q61" s="78">
        <f t="shared" si="31"/>
        <v>10000</v>
      </c>
      <c r="R61" s="78">
        <f t="shared" si="31"/>
        <v>10000</v>
      </c>
      <c r="S61" s="78">
        <f t="shared" si="31"/>
        <v>0</v>
      </c>
      <c r="T61" s="78">
        <f t="shared" si="31"/>
        <v>0</v>
      </c>
      <c r="U61" s="79">
        <f t="shared" si="31"/>
        <v>0</v>
      </c>
    </row>
    <row r="62" spans="2:23" s="6" customFormat="1" x14ac:dyDescent="0.15"/>
    <row r="63" spans="2:23" s="6" customFormat="1" x14ac:dyDescent="0.15"/>
    <row r="64" spans="2:23" s="6" customFormat="1" x14ac:dyDescent="0.15"/>
    <row r="65" s="6" customFormat="1" x14ac:dyDescent="0.15"/>
    <row r="66" s="6" customFormat="1" x14ac:dyDescent="0.15"/>
  </sheetData>
  <mergeCells count="2">
    <mergeCell ref="G8:P8"/>
    <mergeCell ref="G33:P33"/>
  </mergeCells>
  <phoneticPr fontId="3" type="noConversion"/>
  <conditionalFormatting sqref="F9:P9">
    <cfRule type="expression" dxfId="5" priority="6">
      <formula>#REF!="Yes"</formula>
    </cfRule>
  </conditionalFormatting>
  <conditionalFormatting sqref="F9:P9">
    <cfRule type="expression" dxfId="4" priority="5">
      <formula>#REF!="No"</formula>
    </cfRule>
  </conditionalFormatting>
  <conditionalFormatting sqref="F9:P9">
    <cfRule type="expression" dxfId="3" priority="4">
      <formula>#REF!="Yes"</formula>
    </cfRule>
  </conditionalFormatting>
  <conditionalFormatting sqref="F34:P34">
    <cfRule type="expression" dxfId="2" priority="3">
      <formula>#REF!="Yes"</formula>
    </cfRule>
  </conditionalFormatting>
  <conditionalFormatting sqref="F34:P34">
    <cfRule type="expression" dxfId="1" priority="2">
      <formula>#REF!="No"</formula>
    </cfRule>
  </conditionalFormatting>
  <conditionalFormatting sqref="F34:P34">
    <cfRule type="expression" dxfId="0" priority="1">
      <formula>#REF!="Yes"</formula>
    </cfRule>
  </conditionalFormatting>
  <pageMargins left="0.75000000000000011" right="0.75000000000000011" top="1" bottom="1" header="0.5" footer="0.5"/>
  <pageSetup scale="56"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B1:H41"/>
  <sheetViews>
    <sheetView workbookViewId="0"/>
  </sheetViews>
  <sheetFormatPr baseColWidth="10" defaultColWidth="8.83203125" defaultRowHeight="13" x14ac:dyDescent="0.15"/>
  <cols>
    <col min="3" max="3" width="51" customWidth="1"/>
    <col min="4" max="4" width="11" customWidth="1"/>
  </cols>
  <sheetData>
    <row r="1" spans="2:8" x14ac:dyDescent="0.15">
      <c r="B1" s="134" t="s">
        <v>138</v>
      </c>
      <c r="C1" s="242" t="s">
        <v>162</v>
      </c>
      <c r="H1" s="134" t="s">
        <v>207</v>
      </c>
    </row>
    <row r="2" spans="2:8" x14ac:dyDescent="0.15">
      <c r="B2" s="134" t="s">
        <v>139</v>
      </c>
      <c r="H2" s="134" t="s">
        <v>206</v>
      </c>
    </row>
    <row r="3" spans="2:8" x14ac:dyDescent="0.15">
      <c r="B3" s="134" t="s">
        <v>140</v>
      </c>
    </row>
    <row r="4" spans="2:8" x14ac:dyDescent="0.15">
      <c r="B4" s="134" t="s">
        <v>142</v>
      </c>
    </row>
    <row r="5" spans="2:8" x14ac:dyDescent="0.15">
      <c r="B5" s="134" t="s">
        <v>141</v>
      </c>
    </row>
    <row r="6" spans="2:8" x14ac:dyDescent="0.15">
      <c r="B6" s="134" t="s">
        <v>143</v>
      </c>
    </row>
    <row r="7" spans="2:8" x14ac:dyDescent="0.15">
      <c r="B7" s="134" t="s">
        <v>103</v>
      </c>
    </row>
    <row r="8" spans="2:8" x14ac:dyDescent="0.15">
      <c r="B8" s="134" t="s">
        <v>144</v>
      </c>
    </row>
    <row r="9" spans="2:8" x14ac:dyDescent="0.15">
      <c r="B9" s="134" t="s">
        <v>145</v>
      </c>
    </row>
    <row r="10" spans="2:8" x14ac:dyDescent="0.15">
      <c r="B10" s="134" t="s">
        <v>146</v>
      </c>
    </row>
    <row r="11" spans="2:8" x14ac:dyDescent="0.15">
      <c r="B11" s="134" t="s">
        <v>147</v>
      </c>
    </row>
    <row r="12" spans="2:8" x14ac:dyDescent="0.15">
      <c r="B12" s="134" t="s">
        <v>148</v>
      </c>
    </row>
    <row r="13" spans="2:8" x14ac:dyDescent="0.15">
      <c r="B13" s="134" t="s">
        <v>149</v>
      </c>
    </row>
    <row r="14" spans="2:8" x14ac:dyDescent="0.15">
      <c r="B14" s="134" t="s">
        <v>150</v>
      </c>
    </row>
    <row r="15" spans="2:8" x14ac:dyDescent="0.15">
      <c r="B15" s="134" t="s">
        <v>151</v>
      </c>
    </row>
    <row r="16" spans="2:8" x14ac:dyDescent="0.15">
      <c r="B16" s="134" t="s">
        <v>152</v>
      </c>
    </row>
    <row r="17" spans="2:4" x14ac:dyDescent="0.15">
      <c r="B17" s="134" t="s">
        <v>153</v>
      </c>
    </row>
    <row r="18" spans="2:4" x14ac:dyDescent="0.15">
      <c r="B18" s="134" t="s">
        <v>154</v>
      </c>
    </row>
    <row r="19" spans="2:4" x14ac:dyDescent="0.15">
      <c r="B19" s="134" t="s">
        <v>155</v>
      </c>
    </row>
    <row r="20" spans="2:4" x14ac:dyDescent="0.15">
      <c r="B20" s="134" t="s">
        <v>156</v>
      </c>
    </row>
    <row r="21" spans="2:4" x14ac:dyDescent="0.15">
      <c r="B21" s="134" t="s">
        <v>157</v>
      </c>
    </row>
    <row r="22" spans="2:4" x14ac:dyDescent="0.15">
      <c r="C22" s="134" t="s">
        <v>163</v>
      </c>
      <c r="D22">
        <f>MATCH(0,'IV. Profit&amp;Loss + Cash Flow'!D8:X8)</f>
        <v>9</v>
      </c>
    </row>
    <row r="23" spans="2:4" x14ac:dyDescent="0.15">
      <c r="C23" s="134" t="s">
        <v>164</v>
      </c>
      <c r="D23" s="227" t="str">
        <f>INDEX($B$1:$B$21,$D$22)</f>
        <v>L</v>
      </c>
    </row>
    <row r="24" spans="2:4" x14ac:dyDescent="0.15">
      <c r="C24" s="134" t="s">
        <v>198</v>
      </c>
      <c r="D24" s="227" t="str">
        <f>INDEX($B$1:$B$21,$D$22+1)</f>
        <v>M</v>
      </c>
    </row>
    <row r="26" spans="2:4" x14ac:dyDescent="0.15">
      <c r="C26" s="134" t="s">
        <v>167</v>
      </c>
      <c r="D26" s="243" t="str">
        <f>CONCATENATE($D$23,"8:X8")</f>
        <v>L8:X8</v>
      </c>
    </row>
    <row r="27" spans="2:4" x14ac:dyDescent="0.15">
      <c r="D27" s="227"/>
    </row>
    <row r="28" spans="2:4" x14ac:dyDescent="0.15">
      <c r="C28" s="134" t="s">
        <v>158</v>
      </c>
      <c r="D28" s="243" t="str">
        <f>CONCATENATE($D$23,"36:",$D$41,"36")</f>
        <v>L36:W36</v>
      </c>
    </row>
    <row r="29" spans="2:4" x14ac:dyDescent="0.15">
      <c r="C29" s="134" t="s">
        <v>159</v>
      </c>
      <c r="D29" s="243" t="str">
        <f>CONCATENATE($D$23,"35:",$D$41,"35")</f>
        <v>L35:W35</v>
      </c>
    </row>
    <row r="30" spans="2:4" x14ac:dyDescent="0.15">
      <c r="C30" s="134" t="s">
        <v>196</v>
      </c>
      <c r="D30" s="243" t="str">
        <f>CONCATENATE($D$24,"35:",$D$41,"35")</f>
        <v>M35:W35</v>
      </c>
    </row>
    <row r="31" spans="2:4" x14ac:dyDescent="0.15">
      <c r="C31" s="134" t="s">
        <v>165</v>
      </c>
      <c r="D31" s="227" t="str">
        <f>CONCATENATE($D$23,"35")</f>
        <v>L35</v>
      </c>
    </row>
    <row r="32" spans="2:4" x14ac:dyDescent="0.15">
      <c r="D32" s="227"/>
    </row>
    <row r="33" spans="3:4" x14ac:dyDescent="0.15">
      <c r="C33" s="134" t="s">
        <v>160</v>
      </c>
      <c r="D33" s="243" t="str">
        <f>CONCATENATE($D$23,"33:",$D$41,"33")</f>
        <v>L33:W33</v>
      </c>
    </row>
    <row r="34" spans="3:4" x14ac:dyDescent="0.15">
      <c r="C34" s="134" t="s">
        <v>161</v>
      </c>
      <c r="D34" s="243" t="str">
        <f>CONCATENATE($D$23,"32:",$D$41,"32")</f>
        <v>L32:W32</v>
      </c>
    </row>
    <row r="35" spans="3:4" x14ac:dyDescent="0.15">
      <c r="C35" s="134" t="s">
        <v>197</v>
      </c>
      <c r="D35" s="243" t="str">
        <f>CONCATENATE($D$24,"32:",$D$41,"32")</f>
        <v>M32:W32</v>
      </c>
    </row>
    <row r="36" spans="3:4" x14ac:dyDescent="0.15">
      <c r="C36" s="134" t="s">
        <v>166</v>
      </c>
      <c r="D36" s="227" t="str">
        <f>CONCATENATE($D$23,"32")</f>
        <v>L32</v>
      </c>
    </row>
    <row r="38" spans="3:4" x14ac:dyDescent="0.15">
      <c r="C38" t="s">
        <v>195</v>
      </c>
      <c r="D38" s="228">
        <f>'IV. Profit&amp;Loss + Cash Flow'!N8+'I.Input Data'!I11-1</f>
        <v>11.923287671232877</v>
      </c>
    </row>
    <row r="40" spans="3:4" x14ac:dyDescent="0.15">
      <c r="C40" s="134" t="s">
        <v>168</v>
      </c>
      <c r="D40" s="228">
        <f>D22+D38</f>
        <v>20.923287671232877</v>
      </c>
    </row>
    <row r="41" spans="3:4" x14ac:dyDescent="0.15">
      <c r="C41" s="134" t="s">
        <v>169</v>
      </c>
      <c r="D41" s="227" t="str">
        <f>INDEX($B$1:$B$21,$D$40)</f>
        <v>W</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abSelected="1" zoomScale="80" zoomScaleNormal="80" zoomScalePageLayoutView="80" workbookViewId="0">
      <selection activeCell="C16" sqref="C16"/>
    </sheetView>
  </sheetViews>
  <sheetFormatPr baseColWidth="10" defaultColWidth="8.83203125" defaultRowHeight="13" x14ac:dyDescent="0.15"/>
  <cols>
    <col min="2" max="2" width="11.5" customWidth="1"/>
    <col min="3" max="3" width="149.83203125" customWidth="1"/>
  </cols>
  <sheetData>
    <row r="1" spans="1:3" x14ac:dyDescent="0.15">
      <c r="A1" s="2" t="s">
        <v>223</v>
      </c>
      <c r="B1" s="376" t="s">
        <v>224</v>
      </c>
      <c r="C1" s="2" t="s">
        <v>225</v>
      </c>
    </row>
    <row r="2" spans="1:3" x14ac:dyDescent="0.15">
      <c r="A2" s="377" t="s">
        <v>226</v>
      </c>
      <c r="B2" s="378">
        <v>42622</v>
      </c>
      <c r="C2" s="134" t="s">
        <v>227</v>
      </c>
    </row>
    <row r="3" spans="1:3" x14ac:dyDescent="0.15">
      <c r="A3" s="377" t="s">
        <v>228</v>
      </c>
      <c r="B3" s="378">
        <v>42759</v>
      </c>
      <c r="C3" s="134" t="s">
        <v>229</v>
      </c>
    </row>
    <row r="4" spans="1:3" x14ac:dyDescent="0.15">
      <c r="A4" s="377" t="s">
        <v>230</v>
      </c>
      <c r="B4" s="378">
        <v>42761</v>
      </c>
      <c r="C4" s="134" t="s">
        <v>231</v>
      </c>
    </row>
    <row r="5" spans="1:3" x14ac:dyDescent="0.15">
      <c r="A5" s="377" t="s">
        <v>233</v>
      </c>
      <c r="B5" s="378">
        <v>42878</v>
      </c>
      <c r="C5" s="4" t="s">
        <v>234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dc99d1b-0883-4f2c-a8e6-6d8ebaa0e5d6">PKKMWAM5UKCP-1496045046-228</_dlc_DocId>
    <_dlc_DocIdUrl xmlns="ddc99d1b-0883-4f2c-a8e6-6d8ebaa0e5d6">
      <Url>https://esateamsite.sso.esa.int/DTIA/DPTIAT/ARTES_C_and_G/_layouts/15/DocIdRedir.aspx?ID=PKKMWAM5UKCP-1496045046-228</Url>
      <Description>PKKMWAM5UKCP-1496045046-228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9735FE32E57094F81AD88433271F488" ma:contentTypeVersion="35" ma:contentTypeDescription="Create a new document." ma:contentTypeScope="" ma:versionID="7fcfe9ab305cf73dfe182fbb00b7e4e0">
  <xsd:schema xmlns:xsd="http://www.w3.org/2001/XMLSchema" xmlns:xs="http://www.w3.org/2001/XMLSchema" xmlns:p="http://schemas.microsoft.com/office/2006/metadata/properties" xmlns:ns2="ddc99d1b-0883-4f2c-a8e6-6d8ebaa0e5d6" targetNamespace="http://schemas.microsoft.com/office/2006/metadata/properties" ma:root="true" ma:fieldsID="902aa81d2cbcd598eeba467345b2611e" ns2:_="">
    <xsd:import namespace="ddc99d1b-0883-4f2c-a8e6-6d8ebaa0e5d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c99d1b-0883-4f2c-a8e6-6d8ebaa0e5d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CC09FC-5EB9-4291-BA56-3F9EB5CABC9F}">
  <ds:schemaRefs>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infopath/2007/PartnerControls"/>
    <ds:schemaRef ds:uri="ddc99d1b-0883-4f2c-a8e6-6d8ebaa0e5d6"/>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8D34510-BBA9-4EEC-A478-9FB3807BCC68}">
  <ds:schemaRefs>
    <ds:schemaRef ds:uri="http://schemas.microsoft.com/sharepoint/v3/contenttype/forms"/>
  </ds:schemaRefs>
</ds:datastoreItem>
</file>

<file path=customXml/itemProps3.xml><?xml version="1.0" encoding="utf-8"?>
<ds:datastoreItem xmlns:ds="http://schemas.openxmlformats.org/officeDocument/2006/customXml" ds:itemID="{3EFC1D25-E402-4822-950A-55645080A2AE}">
  <ds:schemaRefs>
    <ds:schemaRef ds:uri="http://schemas.microsoft.com/sharepoint/events"/>
  </ds:schemaRefs>
</ds:datastoreItem>
</file>

<file path=customXml/itemProps4.xml><?xml version="1.0" encoding="utf-8"?>
<ds:datastoreItem xmlns:ds="http://schemas.openxmlformats.org/officeDocument/2006/customXml" ds:itemID="{58969ED5-3018-4328-91C9-EA1AA8D69B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c99d1b-0883-4f2c-a8e6-6d8ebaa0e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0. Overview</vt:lpstr>
      <vt:lpstr>I.Input Data</vt:lpstr>
      <vt:lpstr>II. Revenues</vt:lpstr>
      <vt:lpstr>III. Costs</vt:lpstr>
      <vt:lpstr>IV. Profit&amp;Loss + Cash Flow</vt:lpstr>
      <vt:lpstr>Depreciation</vt:lpstr>
      <vt:lpstr>SUPPORT</vt:lpstr>
      <vt:lpstr>Change Log</vt:lpstr>
    </vt:vector>
  </TitlesOfParts>
  <Company>ESA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Castorina</dc:creator>
  <cp:lastModifiedBy>Michele Castorina</cp:lastModifiedBy>
  <cp:lastPrinted>2010-04-06T09:51:54Z</cp:lastPrinted>
  <dcterms:created xsi:type="dcterms:W3CDTF">2010-04-02T08:06:11Z</dcterms:created>
  <dcterms:modified xsi:type="dcterms:W3CDTF">2017-05-29T12:07:27Z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5a4acaa1-86aa-4ba8-a852-55546de4092f</vt:lpwstr>
  </property>
  <property fmtid="{D5CDD505-2E9C-101B-9397-08002B2CF9AE}" pid="3" name="ContentTypeId">
    <vt:lpwstr>0x01010089735FE32E57094F81AD88433271F488</vt:lpwstr>
  </property>
</Properties>
</file>