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Francisco De Pablos\Desktop\"/>
    </mc:Choice>
  </mc:AlternateContent>
  <workbookProtection lockStructure="1"/>
  <bookViews>
    <workbookView xWindow="1035" yWindow="465" windowWidth="33600" windowHeight="18945"/>
  </bookViews>
  <sheets>
    <sheet name="0.Guidelines" sheetId="7" r:id="rId1"/>
    <sheet name="I.InputData" sheetId="13" r:id="rId2"/>
    <sheet name="II.Profit&amp;Loss+CashFlow" sheetId="4" r:id="rId3"/>
    <sheet name="SUPPORT" sheetId="17" state="hidden" r:id="rId4"/>
  </sheets>
  <externalReferences>
    <externalReference r:id="rId5"/>
  </externalReferences>
  <definedNames>
    <definedName name="_">[1]assumptions!#REF!</definedName>
    <definedName name="consumer">[1]assumptions!#REF!</definedName>
    <definedName name="temp">[1]assumptions!#REF!</definedName>
    <definedName name="temp2">[1]assumptions!#REF!</definedName>
    <definedName name="YES_NO">#REF!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7" l="1"/>
  <c r="T27" i="17"/>
  <c r="AM7" i="17"/>
  <c r="AL7" i="17"/>
  <c r="AK7" i="17"/>
  <c r="AJ7" i="17"/>
  <c r="AI7" i="17"/>
  <c r="AH7" i="17"/>
  <c r="AG7" i="17"/>
  <c r="AF7" i="17"/>
  <c r="AE7" i="17"/>
  <c r="AD7" i="17"/>
  <c r="D10" i="17"/>
  <c r="Y26" i="17"/>
  <c r="S26" i="17"/>
  <c r="U26" i="17"/>
  <c r="AD35" i="17"/>
  <c r="D8" i="17"/>
  <c r="Y24" i="17"/>
  <c r="S24" i="17"/>
  <c r="U24" i="17"/>
  <c r="AD33" i="17"/>
  <c r="D9" i="17"/>
  <c r="Y25" i="17"/>
  <c r="S25" i="17"/>
  <c r="U25" i="17"/>
  <c r="AD34" i="17"/>
  <c r="D7" i="17"/>
  <c r="Y23" i="17"/>
  <c r="G7" i="17"/>
  <c r="S23" i="17"/>
  <c r="U23" i="17"/>
  <c r="AD32" i="17"/>
  <c r="AD6" i="17"/>
  <c r="X26" i="17"/>
  <c r="W26" i="17"/>
  <c r="AC35" i="17"/>
  <c r="V26" i="17"/>
  <c r="AB35" i="17"/>
  <c r="AA35" i="17"/>
  <c r="Z35" i="17"/>
  <c r="Z33" i="17"/>
  <c r="Z34" i="17"/>
  <c r="Z32" i="17"/>
  <c r="Z6" i="17"/>
  <c r="V24" i="17"/>
  <c r="W24" i="17"/>
  <c r="AA33" i="17"/>
  <c r="AA34" i="17"/>
  <c r="E7" i="17"/>
  <c r="AA32" i="17"/>
  <c r="AA6" i="17"/>
  <c r="X24" i="17"/>
  <c r="AB33" i="17"/>
  <c r="AB34" i="17"/>
  <c r="AB32" i="17"/>
  <c r="AB6" i="17"/>
  <c r="AC33" i="17"/>
  <c r="AC34" i="17"/>
  <c r="AC32" i="17"/>
  <c r="AC6" i="17"/>
  <c r="Z5" i="17"/>
  <c r="AA5" i="17"/>
  <c r="AB5" i="17"/>
  <c r="AC5" i="17"/>
  <c r="AD5" i="17"/>
  <c r="AE35" i="17"/>
  <c r="AE33" i="17"/>
  <c r="AE34" i="17"/>
  <c r="AE32" i="17"/>
  <c r="AE6" i="17"/>
  <c r="AE5" i="17"/>
  <c r="AF35" i="17"/>
  <c r="AF33" i="17"/>
  <c r="AF34" i="17"/>
  <c r="AF32" i="17"/>
  <c r="AF6" i="17"/>
  <c r="AF5" i="17"/>
  <c r="AG35" i="17"/>
  <c r="AG33" i="17"/>
  <c r="AG34" i="17"/>
  <c r="AG32" i="17"/>
  <c r="AG6" i="17"/>
  <c r="AG5" i="17"/>
  <c r="AH35" i="17"/>
  <c r="AH33" i="17"/>
  <c r="AH34" i="17"/>
  <c r="AH32" i="17"/>
  <c r="AH6" i="17"/>
  <c r="AH5" i="17"/>
  <c r="AI35" i="17"/>
  <c r="AI33" i="17"/>
  <c r="AI34" i="17"/>
  <c r="AI32" i="17"/>
  <c r="AI6" i="17"/>
  <c r="AI5" i="17"/>
  <c r="AJ35" i="17"/>
  <c r="AJ33" i="17"/>
  <c r="AJ34" i="17"/>
  <c r="AJ32" i="17"/>
  <c r="AJ6" i="17"/>
  <c r="AJ5" i="17"/>
  <c r="AK35" i="17"/>
  <c r="AK33" i="17"/>
  <c r="AK34" i="17"/>
  <c r="AK32" i="17"/>
  <c r="AK6" i="17"/>
  <c r="AK5" i="17"/>
  <c r="AL35" i="17"/>
  <c r="AL33" i="17"/>
  <c r="AL34" i="17"/>
  <c r="AL32" i="17"/>
  <c r="AL6" i="17"/>
  <c r="AL5" i="17"/>
  <c r="AM35" i="17"/>
  <c r="AM33" i="17"/>
  <c r="AM34" i="17"/>
  <c r="AM32" i="17"/>
  <c r="AM6" i="17"/>
  <c r="AM5" i="17"/>
  <c r="AF43" i="17"/>
  <c r="AG43" i="17"/>
  <c r="AH43" i="17"/>
  <c r="AI43" i="17"/>
  <c r="AJ43" i="17"/>
  <c r="AK43" i="17"/>
  <c r="AL43" i="17"/>
  <c r="AM43" i="17"/>
  <c r="AN43" i="17"/>
  <c r="AF44" i="17"/>
  <c r="AG44" i="17"/>
  <c r="AH44" i="17"/>
  <c r="AI44" i="17"/>
  <c r="AJ44" i="17"/>
  <c r="AK44" i="17"/>
  <c r="AL44" i="17"/>
  <c r="AM44" i="17"/>
  <c r="AN44" i="17"/>
  <c r="AF45" i="17"/>
  <c r="AG45" i="17"/>
  <c r="AH45" i="17"/>
  <c r="AI45" i="17"/>
  <c r="AJ45" i="17"/>
  <c r="AK45" i="17"/>
  <c r="AL45" i="17"/>
  <c r="AM45" i="17"/>
  <c r="AN45" i="17"/>
  <c r="AE43" i="17"/>
  <c r="AE44" i="17"/>
  <c r="AE45" i="17"/>
  <c r="AD44" i="17"/>
  <c r="AD45" i="17"/>
  <c r="AD43" i="17"/>
  <c r="AD91" i="17"/>
  <c r="AD71" i="17"/>
  <c r="AD9" i="17"/>
  <c r="V23" i="17"/>
  <c r="W23" i="17"/>
  <c r="T32" i="17"/>
  <c r="T33" i="17"/>
  <c r="U33" i="17"/>
  <c r="V33" i="17"/>
  <c r="W33" i="17"/>
  <c r="X33" i="17"/>
  <c r="Y33" i="17"/>
  <c r="AN33" i="17"/>
  <c r="R33" i="17"/>
  <c r="T34" i="17"/>
  <c r="U34" i="17"/>
  <c r="V34" i="17"/>
  <c r="W34" i="17"/>
  <c r="X34" i="17"/>
  <c r="Y34" i="17"/>
  <c r="AN34" i="17"/>
  <c r="R34" i="17"/>
  <c r="T35" i="17"/>
  <c r="U35" i="17"/>
  <c r="V35" i="17"/>
  <c r="W35" i="17"/>
  <c r="X35" i="17"/>
  <c r="Y35" i="17"/>
  <c r="AN35" i="17"/>
  <c r="R35" i="17"/>
  <c r="U32" i="17"/>
  <c r="V32" i="17"/>
  <c r="W32" i="17"/>
  <c r="X32" i="17"/>
  <c r="Y32" i="17"/>
  <c r="X23" i="17"/>
  <c r="AN32" i="17"/>
  <c r="R32" i="17"/>
  <c r="Z26" i="17"/>
  <c r="Z24" i="17"/>
  <c r="Z25" i="17"/>
  <c r="F7" i="17"/>
  <c r="Z23" i="17"/>
  <c r="G11" i="17"/>
  <c r="S27" i="17"/>
  <c r="T6" i="17"/>
  <c r="T5" i="17"/>
  <c r="U6" i="17"/>
  <c r="U5" i="17"/>
  <c r="V6" i="17"/>
  <c r="V5" i="17"/>
  <c r="W6" i="17"/>
  <c r="W5" i="17"/>
  <c r="X6" i="17"/>
  <c r="X5" i="17"/>
  <c r="Y6" i="17"/>
  <c r="Y5" i="17"/>
  <c r="AN6" i="17"/>
  <c r="AN7" i="17"/>
  <c r="AN5" i="17"/>
  <c r="AD46" i="17"/>
  <c r="AD8" i="17"/>
  <c r="AE46" i="17"/>
  <c r="AE8" i="17"/>
  <c r="AF46" i="17"/>
  <c r="AF8" i="17"/>
  <c r="AG46" i="17"/>
  <c r="AG8" i="17"/>
  <c r="AH46" i="17"/>
  <c r="AH8" i="17"/>
  <c r="AI46" i="17"/>
  <c r="AI8" i="17"/>
  <c r="AJ46" i="17"/>
  <c r="AJ8" i="17"/>
  <c r="AK46" i="17"/>
  <c r="AK8" i="17"/>
  <c r="AL8" i="17"/>
  <c r="AM8" i="17"/>
  <c r="AN8" i="17"/>
  <c r="AE9" i="17"/>
  <c r="AF9" i="17"/>
  <c r="AG9" i="17"/>
  <c r="AH9" i="17"/>
  <c r="AI9" i="17"/>
  <c r="AJ9" i="17"/>
  <c r="AK9" i="17"/>
  <c r="AL9" i="17"/>
  <c r="AM9" i="17"/>
  <c r="AN9" i="17"/>
  <c r="AD10" i="17"/>
  <c r="F21" i="17"/>
  <c r="AE40" i="17"/>
  <c r="AE51" i="17"/>
  <c r="AE41" i="17"/>
  <c r="AE52" i="17"/>
  <c r="AE42" i="17"/>
  <c r="AE53" i="17"/>
  <c r="AE54" i="17"/>
  <c r="AE10" i="17"/>
  <c r="AF40" i="17"/>
  <c r="AF51" i="17"/>
  <c r="AF41" i="17"/>
  <c r="AF52" i="17"/>
  <c r="AF42" i="17"/>
  <c r="AF53" i="17"/>
  <c r="AF54" i="17"/>
  <c r="AF10" i="17"/>
  <c r="AG40" i="17"/>
  <c r="AG51" i="17"/>
  <c r="AG41" i="17"/>
  <c r="AG52" i="17"/>
  <c r="AG42" i="17"/>
  <c r="AG53" i="17"/>
  <c r="AG54" i="17"/>
  <c r="AG10" i="17"/>
  <c r="AH40" i="17"/>
  <c r="AH51" i="17"/>
  <c r="AH41" i="17"/>
  <c r="AH52" i="17"/>
  <c r="AH42" i="17"/>
  <c r="AH53" i="17"/>
  <c r="AH54" i="17"/>
  <c r="AH10" i="17"/>
  <c r="AI40" i="17"/>
  <c r="AI51" i="17"/>
  <c r="AI41" i="17"/>
  <c r="AI52" i="17"/>
  <c r="AI42" i="17"/>
  <c r="AI53" i="17"/>
  <c r="AI54" i="17"/>
  <c r="AI10" i="17"/>
  <c r="AJ40" i="17"/>
  <c r="AJ51" i="17"/>
  <c r="AJ41" i="17"/>
  <c r="AJ52" i="17"/>
  <c r="AJ42" i="17"/>
  <c r="AJ53" i="17"/>
  <c r="AJ54" i="17"/>
  <c r="AJ10" i="17"/>
  <c r="AK40" i="17"/>
  <c r="AK51" i="17"/>
  <c r="AK41" i="17"/>
  <c r="AK52" i="17"/>
  <c r="AK42" i="17"/>
  <c r="AK53" i="17"/>
  <c r="AK54" i="17"/>
  <c r="AK10" i="17"/>
  <c r="AL10" i="17"/>
  <c r="AM10" i="17"/>
  <c r="AN10" i="17"/>
  <c r="AD11" i="17"/>
  <c r="AE11" i="17"/>
  <c r="AF11" i="17"/>
  <c r="AG11" i="17"/>
  <c r="AH11" i="17"/>
  <c r="AI11" i="17"/>
  <c r="AJ11" i="17"/>
  <c r="AK11" i="17"/>
  <c r="AL11" i="17"/>
  <c r="AM11" i="17"/>
  <c r="AN11" i="17"/>
  <c r="AD12" i="17"/>
  <c r="AE12" i="17"/>
  <c r="AF12" i="17"/>
  <c r="AG12" i="17"/>
  <c r="AH12" i="17"/>
  <c r="AI12" i="17"/>
  <c r="AJ12" i="17"/>
  <c r="AK12" i="17"/>
  <c r="AL12" i="17"/>
  <c r="AM12" i="17"/>
  <c r="AN12" i="17"/>
  <c r="AD13" i="17"/>
  <c r="AE13" i="17"/>
  <c r="AF13" i="17"/>
  <c r="AG13" i="17"/>
  <c r="AH13" i="17"/>
  <c r="AI13" i="17"/>
  <c r="AJ13" i="17"/>
  <c r="AK13" i="17"/>
  <c r="AL13" i="17"/>
  <c r="AM13" i="17"/>
  <c r="AN13" i="17"/>
  <c r="AD14" i="17"/>
  <c r="AE14" i="17"/>
  <c r="AF14" i="17"/>
  <c r="AG14" i="17"/>
  <c r="AH14" i="17"/>
  <c r="AI14" i="17"/>
  <c r="AJ14" i="17"/>
  <c r="AK14" i="17"/>
  <c r="AL14" i="17"/>
  <c r="AM14" i="17"/>
  <c r="AN14" i="17"/>
  <c r="AD15" i="17"/>
  <c r="AE15" i="17"/>
  <c r="AF15" i="17"/>
  <c r="AG15" i="17"/>
  <c r="AH15" i="17"/>
  <c r="AI15" i="17"/>
  <c r="AJ15" i="17"/>
  <c r="AK15" i="17"/>
  <c r="AL15" i="17"/>
  <c r="AM15" i="17"/>
  <c r="AN15" i="17"/>
  <c r="T63" i="17"/>
  <c r="T64" i="17"/>
  <c r="T65" i="17"/>
  <c r="T66" i="17"/>
  <c r="T16" i="17"/>
  <c r="U63" i="17"/>
  <c r="U64" i="17"/>
  <c r="U65" i="17"/>
  <c r="U66" i="17"/>
  <c r="U16" i="17"/>
  <c r="V63" i="17"/>
  <c r="V64" i="17"/>
  <c r="V65" i="17"/>
  <c r="V66" i="17"/>
  <c r="V16" i="17"/>
  <c r="W63" i="17"/>
  <c r="W64" i="17"/>
  <c r="W65" i="17"/>
  <c r="W66" i="17"/>
  <c r="W16" i="17"/>
  <c r="X63" i="17"/>
  <c r="X64" i="17"/>
  <c r="X65" i="17"/>
  <c r="X66" i="17"/>
  <c r="X16" i="17"/>
  <c r="Y63" i="17"/>
  <c r="Y64" i="17"/>
  <c r="Y65" i="17"/>
  <c r="Y66" i="17"/>
  <c r="Y16" i="17"/>
  <c r="Z63" i="17"/>
  <c r="Z64" i="17"/>
  <c r="Z65" i="17"/>
  <c r="Z66" i="17"/>
  <c r="Z16" i="17"/>
  <c r="AA63" i="17"/>
  <c r="AA64" i="17"/>
  <c r="AA65" i="17"/>
  <c r="AA66" i="17"/>
  <c r="AA16" i="17"/>
  <c r="AB63" i="17"/>
  <c r="AB64" i="17"/>
  <c r="AB65" i="17"/>
  <c r="AB66" i="17"/>
  <c r="AB16" i="17"/>
  <c r="AC63" i="17"/>
  <c r="AC64" i="17"/>
  <c r="AC65" i="17"/>
  <c r="AC66" i="17"/>
  <c r="AC16" i="17"/>
  <c r="AD63" i="17"/>
  <c r="AD64" i="17"/>
  <c r="AD65" i="17"/>
  <c r="AD66" i="17"/>
  <c r="AD16" i="17"/>
  <c r="AE63" i="17"/>
  <c r="AE64" i="17"/>
  <c r="AE65" i="17"/>
  <c r="AE66" i="17"/>
  <c r="AE16" i="17"/>
  <c r="AF63" i="17"/>
  <c r="AF64" i="17"/>
  <c r="AF65" i="17"/>
  <c r="AF66" i="17"/>
  <c r="AF16" i="17"/>
  <c r="AG63" i="17"/>
  <c r="AG64" i="17"/>
  <c r="AG65" i="17"/>
  <c r="AG66" i="17"/>
  <c r="AG16" i="17"/>
  <c r="AH63" i="17"/>
  <c r="AH64" i="17"/>
  <c r="AH65" i="17"/>
  <c r="AH66" i="17"/>
  <c r="AH16" i="17"/>
  <c r="AI63" i="17"/>
  <c r="AI64" i="17"/>
  <c r="AI65" i="17"/>
  <c r="AI66" i="17"/>
  <c r="AI16" i="17"/>
  <c r="AJ63" i="17"/>
  <c r="AJ64" i="17"/>
  <c r="AJ65" i="17"/>
  <c r="AJ66" i="17"/>
  <c r="AJ16" i="17"/>
  <c r="AK63" i="17"/>
  <c r="AK64" i="17"/>
  <c r="AK65" i="17"/>
  <c r="AK66" i="17"/>
  <c r="AK16" i="17"/>
  <c r="AL63" i="17"/>
  <c r="AL64" i="17"/>
  <c r="AL65" i="17"/>
  <c r="AL66" i="17"/>
  <c r="AL16" i="17"/>
  <c r="AM63" i="17"/>
  <c r="AM64" i="17"/>
  <c r="AM65" i="17"/>
  <c r="AM66" i="17"/>
  <c r="AM16" i="17"/>
  <c r="AN63" i="17"/>
  <c r="AN64" i="17"/>
  <c r="AN65" i="17"/>
  <c r="AN66" i="17"/>
  <c r="AN16" i="17"/>
  <c r="T67" i="17"/>
  <c r="T68" i="17"/>
  <c r="T69" i="17"/>
  <c r="T70" i="17"/>
  <c r="T17" i="17"/>
  <c r="U67" i="17"/>
  <c r="U68" i="17"/>
  <c r="U69" i="17"/>
  <c r="U70" i="17"/>
  <c r="U17" i="17"/>
  <c r="V67" i="17"/>
  <c r="V68" i="17"/>
  <c r="V69" i="17"/>
  <c r="V70" i="17"/>
  <c r="V17" i="17"/>
  <c r="W67" i="17"/>
  <c r="W68" i="17"/>
  <c r="W69" i="17"/>
  <c r="W70" i="17"/>
  <c r="W17" i="17"/>
  <c r="X67" i="17"/>
  <c r="X68" i="17"/>
  <c r="X69" i="17"/>
  <c r="X70" i="17"/>
  <c r="X17" i="17"/>
  <c r="Y67" i="17"/>
  <c r="Y68" i="17"/>
  <c r="Y69" i="17"/>
  <c r="Y70" i="17"/>
  <c r="Y17" i="17"/>
  <c r="Z67" i="17"/>
  <c r="Z68" i="17"/>
  <c r="Z69" i="17"/>
  <c r="Z70" i="17"/>
  <c r="Z17" i="17"/>
  <c r="AA67" i="17"/>
  <c r="AA68" i="17"/>
  <c r="AA69" i="17"/>
  <c r="AA70" i="17"/>
  <c r="AA17" i="17"/>
  <c r="AB67" i="17"/>
  <c r="AB68" i="17"/>
  <c r="AB69" i="17"/>
  <c r="AB70" i="17"/>
  <c r="AB17" i="17"/>
  <c r="AC67" i="17"/>
  <c r="AC68" i="17"/>
  <c r="AC69" i="17"/>
  <c r="AC70" i="17"/>
  <c r="AC17" i="17"/>
  <c r="AD67" i="17"/>
  <c r="AD68" i="17"/>
  <c r="AD69" i="17"/>
  <c r="AD70" i="17"/>
  <c r="AD17" i="17"/>
  <c r="AE67" i="17"/>
  <c r="AE68" i="17"/>
  <c r="AE69" i="17"/>
  <c r="AE70" i="17"/>
  <c r="AE17" i="17"/>
  <c r="AF67" i="17"/>
  <c r="AF68" i="17"/>
  <c r="AF69" i="17"/>
  <c r="AF70" i="17"/>
  <c r="AF17" i="17"/>
  <c r="AG67" i="17"/>
  <c r="AG68" i="17"/>
  <c r="AG69" i="17"/>
  <c r="AG70" i="17"/>
  <c r="AG17" i="17"/>
  <c r="AH67" i="17"/>
  <c r="AH68" i="17"/>
  <c r="AH69" i="17"/>
  <c r="AH70" i="17"/>
  <c r="AH17" i="17"/>
  <c r="AI67" i="17"/>
  <c r="AI68" i="17"/>
  <c r="AI69" i="17"/>
  <c r="AI70" i="17"/>
  <c r="AI17" i="17"/>
  <c r="AJ67" i="17"/>
  <c r="AJ68" i="17"/>
  <c r="AJ69" i="17"/>
  <c r="AJ70" i="17"/>
  <c r="AJ17" i="17"/>
  <c r="AK67" i="17"/>
  <c r="AK68" i="17"/>
  <c r="AK69" i="17"/>
  <c r="AK70" i="17"/>
  <c r="AK17" i="17"/>
  <c r="AL67" i="17"/>
  <c r="AL68" i="17"/>
  <c r="AL69" i="17"/>
  <c r="AL70" i="17"/>
  <c r="AL17" i="17"/>
  <c r="AM67" i="17"/>
  <c r="AM68" i="17"/>
  <c r="AM69" i="17"/>
  <c r="AM70" i="17"/>
  <c r="AM17" i="17"/>
  <c r="AN67" i="17"/>
  <c r="AN68" i="17"/>
  <c r="AN69" i="17"/>
  <c r="AN70" i="17"/>
  <c r="AN17" i="17"/>
  <c r="AD109" i="17"/>
  <c r="AD140" i="17"/>
  <c r="AD18" i="17"/>
  <c r="AE18" i="17"/>
  <c r="AF18" i="17"/>
  <c r="AG18" i="17"/>
  <c r="AH18" i="17"/>
  <c r="AI18" i="17"/>
  <c r="AJ18" i="17"/>
  <c r="AK18" i="17"/>
  <c r="AL18" i="17"/>
  <c r="AM18" i="17"/>
  <c r="AN18" i="17"/>
  <c r="AD19" i="17"/>
  <c r="AE19" i="17"/>
  <c r="AF19" i="17"/>
  <c r="AG19" i="17"/>
  <c r="AH19" i="17"/>
  <c r="AI19" i="17"/>
  <c r="AJ19" i="17"/>
  <c r="AK19" i="17"/>
  <c r="AL19" i="17"/>
  <c r="AM19" i="17"/>
  <c r="AN19" i="17"/>
  <c r="E8" i="4"/>
  <c r="E13" i="4"/>
  <c r="E14" i="4"/>
  <c r="E15" i="4"/>
  <c r="E16" i="4"/>
  <c r="E17" i="4"/>
  <c r="E18" i="4"/>
  <c r="E19" i="4"/>
  <c r="E20" i="4"/>
  <c r="E21" i="4"/>
  <c r="H7" i="17"/>
  <c r="H8" i="17"/>
  <c r="H9" i="17"/>
  <c r="H10" i="17"/>
  <c r="E10" i="17"/>
  <c r="G10" i="17"/>
  <c r="E8" i="17"/>
  <c r="G8" i="17"/>
  <c r="E9" i="17"/>
  <c r="AC7" i="17"/>
  <c r="AB7" i="17"/>
  <c r="AA7" i="17"/>
  <c r="Z7" i="17"/>
  <c r="E35" i="17"/>
  <c r="AD72" i="17"/>
  <c r="E38" i="17"/>
  <c r="AD75" i="17"/>
  <c r="E39" i="17"/>
  <c r="AD76" i="17"/>
  <c r="E40" i="17"/>
  <c r="AD77" i="17"/>
  <c r="F8" i="17"/>
  <c r="F9" i="17"/>
  <c r="F10" i="17"/>
  <c r="U7" i="17"/>
  <c r="V7" i="17"/>
  <c r="W7" i="17"/>
  <c r="X7" i="17"/>
  <c r="Y7" i="17"/>
  <c r="T7" i="17"/>
  <c r="E27" i="17"/>
  <c r="D17" i="17"/>
  <c r="D20" i="17"/>
  <c r="E28" i="17"/>
  <c r="E29" i="17"/>
  <c r="I28" i="17"/>
  <c r="E18" i="17"/>
  <c r="E20" i="17"/>
  <c r="AH48" i="17"/>
  <c r="AD41" i="17"/>
  <c r="F28" i="17"/>
  <c r="G28" i="17"/>
  <c r="H28" i="17"/>
  <c r="F18" i="17"/>
  <c r="F20" i="17"/>
  <c r="AH56" i="17"/>
  <c r="I27" i="17"/>
  <c r="E17" i="17"/>
  <c r="AH47" i="17"/>
  <c r="AD40" i="17"/>
  <c r="F27" i="17"/>
  <c r="G27" i="17"/>
  <c r="H27" i="17"/>
  <c r="F17" i="17"/>
  <c r="AH55" i="17"/>
  <c r="AD42" i="17"/>
  <c r="F29" i="17"/>
  <c r="G29" i="17"/>
  <c r="H29" i="17"/>
  <c r="I29" i="17"/>
  <c r="F19" i="17"/>
  <c r="AG47" i="17"/>
  <c r="AD47" i="17"/>
  <c r="AD51" i="17"/>
  <c r="AD52" i="17"/>
  <c r="J29" i="17"/>
  <c r="K29" i="17"/>
  <c r="L29" i="17"/>
  <c r="M29" i="17"/>
  <c r="AL42" i="17"/>
  <c r="N29" i="17"/>
  <c r="AM42" i="17"/>
  <c r="O29" i="17"/>
  <c r="AN42" i="17"/>
  <c r="AN53" i="17"/>
  <c r="AM53" i="17"/>
  <c r="AL53" i="17"/>
  <c r="AD53" i="17"/>
  <c r="J28" i="17"/>
  <c r="K28" i="17"/>
  <c r="L28" i="17"/>
  <c r="M28" i="17"/>
  <c r="AL41" i="17"/>
  <c r="N28" i="17"/>
  <c r="AM41" i="17"/>
  <c r="O28" i="17"/>
  <c r="AN41" i="17"/>
  <c r="AN52" i="17"/>
  <c r="AM52" i="17"/>
  <c r="AL52" i="17"/>
  <c r="N27" i="17"/>
  <c r="J27" i="17"/>
  <c r="K27" i="17"/>
  <c r="L27" i="17"/>
  <c r="M27" i="17"/>
  <c r="AL40" i="17"/>
  <c r="AM40" i="17"/>
  <c r="O27" i="17"/>
  <c r="AN40" i="17"/>
  <c r="AN51" i="17"/>
  <c r="AM51" i="17"/>
  <c r="AL51" i="17"/>
  <c r="E19" i="17"/>
  <c r="AN49" i="17"/>
  <c r="AM49" i="17"/>
  <c r="AL49" i="17"/>
  <c r="AK49" i="17"/>
  <c r="AJ49" i="17"/>
  <c r="AI49" i="17"/>
  <c r="AH49" i="17"/>
  <c r="AG49" i="17"/>
  <c r="AF49" i="17"/>
  <c r="AE49" i="17"/>
  <c r="AD49" i="17"/>
  <c r="AN48" i="17"/>
  <c r="AM48" i="17"/>
  <c r="AL48" i="17"/>
  <c r="AK48" i="17"/>
  <c r="AJ48" i="17"/>
  <c r="AI48" i="17"/>
  <c r="AG48" i="17"/>
  <c r="AF48" i="17"/>
  <c r="AE48" i="17"/>
  <c r="AD48" i="17"/>
  <c r="AN47" i="17"/>
  <c r="AM47" i="17"/>
  <c r="AL47" i="17"/>
  <c r="AK47" i="17"/>
  <c r="AJ47" i="17"/>
  <c r="AI47" i="17"/>
  <c r="AF47" i="17"/>
  <c r="AE47" i="17"/>
  <c r="C2" i="17"/>
  <c r="C4" i="17"/>
  <c r="B5" i="17"/>
  <c r="C5" i="17"/>
  <c r="D5" i="17"/>
  <c r="E5" i="17"/>
  <c r="F5" i="17"/>
  <c r="G5" i="17"/>
  <c r="H5" i="17"/>
  <c r="F6" i="17"/>
  <c r="G6" i="17"/>
  <c r="H6" i="17"/>
  <c r="C7" i="17"/>
  <c r="C8" i="17"/>
  <c r="C9" i="17"/>
  <c r="G9" i="17"/>
  <c r="C10" i="17"/>
  <c r="C11" i="17"/>
  <c r="D11" i="17"/>
  <c r="E11" i="17"/>
  <c r="F11" i="17"/>
  <c r="C14" i="17"/>
  <c r="C15" i="17"/>
  <c r="D15" i="17"/>
  <c r="E15" i="17"/>
  <c r="F15" i="17"/>
  <c r="G15" i="17"/>
  <c r="B17" i="17"/>
  <c r="C17" i="17"/>
  <c r="G17" i="17"/>
  <c r="C18" i="17"/>
  <c r="D18" i="17"/>
  <c r="G18" i="17"/>
  <c r="C19" i="17"/>
  <c r="D19" i="17"/>
  <c r="G19" i="17"/>
  <c r="C20" i="17"/>
  <c r="G20" i="17"/>
  <c r="C21" i="17"/>
  <c r="C24" i="17"/>
  <c r="B25" i="17"/>
  <c r="C25" i="17"/>
  <c r="E25" i="13"/>
  <c r="E25" i="17"/>
  <c r="F25" i="17"/>
  <c r="E26" i="17"/>
  <c r="F26" i="17"/>
  <c r="G26" i="17"/>
  <c r="H26" i="17"/>
  <c r="I26" i="17"/>
  <c r="J26" i="17"/>
  <c r="K26" i="17"/>
  <c r="L26" i="17"/>
  <c r="M26" i="17"/>
  <c r="N26" i="17"/>
  <c r="O26" i="17"/>
  <c r="C27" i="17"/>
  <c r="C28" i="17"/>
  <c r="C29" i="17"/>
  <c r="C32" i="17"/>
  <c r="B33" i="17"/>
  <c r="C33" i="17"/>
  <c r="E33" i="13"/>
  <c r="E33" i="17"/>
  <c r="F33" i="17"/>
  <c r="E34" i="17"/>
  <c r="F34" i="17"/>
  <c r="G34" i="17"/>
  <c r="H34" i="17"/>
  <c r="I34" i="17"/>
  <c r="J34" i="17"/>
  <c r="K34" i="17"/>
  <c r="L34" i="17"/>
  <c r="M34" i="17"/>
  <c r="N34" i="17"/>
  <c r="O34" i="17"/>
  <c r="C35" i="17"/>
  <c r="F35" i="17"/>
  <c r="G35" i="17"/>
  <c r="H35" i="17"/>
  <c r="I35" i="17"/>
  <c r="J35" i="17"/>
  <c r="K35" i="17"/>
  <c r="L35" i="17"/>
  <c r="M35" i="17"/>
  <c r="N35" i="17"/>
  <c r="O35" i="17"/>
  <c r="C36" i="17"/>
  <c r="E36" i="17"/>
  <c r="F36" i="17"/>
  <c r="G36" i="17"/>
  <c r="H36" i="17"/>
  <c r="I36" i="17"/>
  <c r="J36" i="17"/>
  <c r="K36" i="17"/>
  <c r="L36" i="17"/>
  <c r="M36" i="17"/>
  <c r="N36" i="17"/>
  <c r="O36" i="17"/>
  <c r="C37" i="17"/>
  <c r="E37" i="17"/>
  <c r="F37" i="17"/>
  <c r="G37" i="17"/>
  <c r="H37" i="17"/>
  <c r="I37" i="17"/>
  <c r="J37" i="17"/>
  <c r="K37" i="17"/>
  <c r="L37" i="17"/>
  <c r="M37" i="17"/>
  <c r="N37" i="17"/>
  <c r="O37" i="17"/>
  <c r="C38" i="17"/>
  <c r="F38" i="17"/>
  <c r="G38" i="17"/>
  <c r="H38" i="17"/>
  <c r="I38" i="17"/>
  <c r="J38" i="17"/>
  <c r="K38" i="17"/>
  <c r="L38" i="17"/>
  <c r="M38" i="17"/>
  <c r="N38" i="17"/>
  <c r="O38" i="17"/>
  <c r="C39" i="17"/>
  <c r="F39" i="17"/>
  <c r="G39" i="17"/>
  <c r="H39" i="17"/>
  <c r="I39" i="17"/>
  <c r="J39" i="17"/>
  <c r="K39" i="17"/>
  <c r="L39" i="17"/>
  <c r="M39" i="17"/>
  <c r="N39" i="17"/>
  <c r="O39" i="17"/>
  <c r="C40" i="17"/>
  <c r="F40" i="17"/>
  <c r="G40" i="17"/>
  <c r="H40" i="17"/>
  <c r="I40" i="17"/>
  <c r="J40" i="17"/>
  <c r="K40" i="17"/>
  <c r="L40" i="17"/>
  <c r="M40" i="17"/>
  <c r="N40" i="17"/>
  <c r="O40" i="17"/>
  <c r="C43" i="17"/>
  <c r="B44" i="17"/>
  <c r="C44" i="17"/>
  <c r="E44" i="17"/>
  <c r="F44" i="17"/>
  <c r="E45" i="17"/>
  <c r="F45" i="17"/>
  <c r="G45" i="17"/>
  <c r="H45" i="17"/>
  <c r="I45" i="17"/>
  <c r="J45" i="17"/>
  <c r="K45" i="17"/>
  <c r="L45" i="17"/>
  <c r="M45" i="17"/>
  <c r="N45" i="17"/>
  <c r="O45" i="17"/>
  <c r="C46" i="17"/>
  <c r="E46" i="17"/>
  <c r="C47" i="17"/>
  <c r="E47" i="17"/>
  <c r="F47" i="17"/>
  <c r="G47" i="17"/>
  <c r="H47" i="17"/>
  <c r="I47" i="17"/>
  <c r="J47" i="17"/>
  <c r="K47" i="17"/>
  <c r="L47" i="17"/>
  <c r="M47" i="17"/>
  <c r="N47" i="17"/>
  <c r="O47" i="17"/>
  <c r="C48" i="17"/>
  <c r="E48" i="17"/>
  <c r="F48" i="17"/>
  <c r="G48" i="17"/>
  <c r="H48" i="17"/>
  <c r="I48" i="17"/>
  <c r="J48" i="17"/>
  <c r="K48" i="17"/>
  <c r="L48" i="17"/>
  <c r="M48" i="17"/>
  <c r="N48" i="17"/>
  <c r="O48" i="17"/>
  <c r="C49" i="17"/>
  <c r="E49" i="17"/>
  <c r="C50" i="17"/>
  <c r="E50" i="17"/>
  <c r="F50" i="17"/>
  <c r="G50" i="17"/>
  <c r="H50" i="17"/>
  <c r="I50" i="17"/>
  <c r="J50" i="17"/>
  <c r="K50" i="17"/>
  <c r="L50" i="17"/>
  <c r="M50" i="17"/>
  <c r="N50" i="17"/>
  <c r="O50" i="17"/>
  <c r="C51" i="17"/>
  <c r="E51" i="17"/>
  <c r="F51" i="17"/>
  <c r="G51" i="17"/>
  <c r="H51" i="17"/>
  <c r="I51" i="17"/>
  <c r="J51" i="17"/>
  <c r="K51" i="17"/>
  <c r="L51" i="17"/>
  <c r="M51" i="17"/>
  <c r="N51" i="17"/>
  <c r="O51" i="17"/>
  <c r="C54" i="17"/>
  <c r="C55" i="17"/>
  <c r="D55" i="17"/>
  <c r="C56" i="17"/>
  <c r="D56" i="17"/>
  <c r="AS114" i="17"/>
  <c r="AR114" i="17"/>
  <c r="AQ114" i="17"/>
  <c r="AP114" i="17"/>
  <c r="AO114" i="17"/>
  <c r="AN81" i="17"/>
  <c r="AN82" i="17"/>
  <c r="AN83" i="17"/>
  <c r="AN114" i="17"/>
  <c r="AM81" i="17"/>
  <c r="AM82" i="17"/>
  <c r="AM83" i="17"/>
  <c r="AM114" i="17"/>
  <c r="AL81" i="17"/>
  <c r="AL82" i="17"/>
  <c r="AL83" i="17"/>
  <c r="AL114" i="17"/>
  <c r="AK81" i="17"/>
  <c r="AK82" i="17"/>
  <c r="AK83" i="17"/>
  <c r="AK114" i="17"/>
  <c r="AJ81" i="17"/>
  <c r="AJ82" i="17"/>
  <c r="AJ83" i="17"/>
  <c r="AJ114" i="17"/>
  <c r="AI81" i="17"/>
  <c r="AI82" i="17"/>
  <c r="AI83" i="17"/>
  <c r="AI114" i="17"/>
  <c r="AH81" i="17"/>
  <c r="AH82" i="17"/>
  <c r="AH83" i="17"/>
  <c r="AH114" i="17"/>
  <c r="AG81" i="17"/>
  <c r="AG82" i="17"/>
  <c r="AG83" i="17"/>
  <c r="AG114" i="17"/>
  <c r="AF81" i="17"/>
  <c r="AF82" i="17"/>
  <c r="AF83" i="17"/>
  <c r="AF114" i="17"/>
  <c r="AE81" i="17"/>
  <c r="AE82" i="17"/>
  <c r="AE83" i="17"/>
  <c r="AE114" i="17"/>
  <c r="AD81" i="17"/>
  <c r="AD82" i="17"/>
  <c r="AD83" i="17"/>
  <c r="AD114" i="17"/>
  <c r="AD78" i="17"/>
  <c r="AD79" i="17"/>
  <c r="AD80" i="17"/>
  <c r="AD89" i="17"/>
  <c r="AC91" i="17"/>
  <c r="AB87" i="17"/>
  <c r="AB91" i="17"/>
  <c r="AS89" i="17"/>
  <c r="AR89" i="17"/>
  <c r="AQ89" i="17"/>
  <c r="AP89" i="17"/>
  <c r="AO89" i="17"/>
  <c r="AN78" i="17"/>
  <c r="AN79" i="17"/>
  <c r="AN80" i="17"/>
  <c r="AN89" i="17"/>
  <c r="AM78" i="17"/>
  <c r="AM79" i="17"/>
  <c r="AM80" i="17"/>
  <c r="AM89" i="17"/>
  <c r="AL78" i="17"/>
  <c r="AL79" i="17"/>
  <c r="AL80" i="17"/>
  <c r="AL89" i="17"/>
  <c r="AK78" i="17"/>
  <c r="AK79" i="17"/>
  <c r="AK80" i="17"/>
  <c r="AK89" i="17"/>
  <c r="AJ78" i="17"/>
  <c r="AJ79" i="17"/>
  <c r="AJ80" i="17"/>
  <c r="AJ89" i="17"/>
  <c r="AI78" i="17"/>
  <c r="AI79" i="17"/>
  <c r="AI80" i="17"/>
  <c r="AI89" i="17"/>
  <c r="AH78" i="17"/>
  <c r="AH79" i="17"/>
  <c r="AH80" i="17"/>
  <c r="AH89" i="17"/>
  <c r="AG78" i="17"/>
  <c r="AG79" i="17"/>
  <c r="AG80" i="17"/>
  <c r="AG89" i="17"/>
  <c r="AF78" i="17"/>
  <c r="AF79" i="17"/>
  <c r="AF80" i="17"/>
  <c r="AF89" i="17"/>
  <c r="AE78" i="17"/>
  <c r="AE79" i="17"/>
  <c r="AE80" i="17"/>
  <c r="AE89" i="17"/>
  <c r="AN77" i="17"/>
  <c r="AM77" i="17"/>
  <c r="AL77" i="17"/>
  <c r="AK77" i="17"/>
  <c r="AJ77" i="17"/>
  <c r="AI77" i="17"/>
  <c r="AH77" i="17"/>
  <c r="AG77" i="17"/>
  <c r="AF77" i="17"/>
  <c r="AE77" i="17"/>
  <c r="AN76" i="17"/>
  <c r="AM76" i="17"/>
  <c r="AL76" i="17"/>
  <c r="AK76" i="17"/>
  <c r="AJ76" i="17"/>
  <c r="AI76" i="17"/>
  <c r="AH76" i="17"/>
  <c r="AG76" i="17"/>
  <c r="AF76" i="17"/>
  <c r="AE76" i="17"/>
  <c r="AN75" i="17"/>
  <c r="AM75" i="17"/>
  <c r="AL75" i="17"/>
  <c r="AK75" i="17"/>
  <c r="AJ75" i="17"/>
  <c r="AI75" i="17"/>
  <c r="AH75" i="17"/>
  <c r="AG75" i="17"/>
  <c r="AF75" i="17"/>
  <c r="AE75" i="17"/>
  <c r="AN74" i="17"/>
  <c r="AM74" i="17"/>
  <c r="AL74" i="17"/>
  <c r="AK74" i="17"/>
  <c r="AJ74" i="17"/>
  <c r="AI74" i="17"/>
  <c r="AH74" i="17"/>
  <c r="AG74" i="17"/>
  <c r="AF74" i="17"/>
  <c r="AE74" i="17"/>
  <c r="AD74" i="17"/>
  <c r="AN73" i="17"/>
  <c r="AM73" i="17"/>
  <c r="AL73" i="17"/>
  <c r="AK73" i="17"/>
  <c r="AJ73" i="17"/>
  <c r="AI73" i="17"/>
  <c r="AH73" i="17"/>
  <c r="AG73" i="17"/>
  <c r="AF73" i="17"/>
  <c r="AE73" i="17"/>
  <c r="AD73" i="17"/>
  <c r="AN72" i="17"/>
  <c r="AM72" i="17"/>
  <c r="AL72" i="17"/>
  <c r="AK72" i="17"/>
  <c r="AJ72" i="17"/>
  <c r="AI72" i="17"/>
  <c r="AH72" i="17"/>
  <c r="AG72" i="17"/>
  <c r="AF72" i="17"/>
  <c r="AE72" i="17"/>
  <c r="AN71" i="17"/>
  <c r="AM71" i="17"/>
  <c r="AL71" i="17"/>
  <c r="AK71" i="17"/>
  <c r="AJ71" i="17"/>
  <c r="AI71" i="17"/>
  <c r="AH71" i="17"/>
  <c r="AG71" i="17"/>
  <c r="AF71" i="17"/>
  <c r="AE71" i="17"/>
  <c r="AD54" i="17"/>
  <c r="AD50" i="17"/>
  <c r="AD58" i="17"/>
  <c r="AD57" i="17"/>
  <c r="AD56" i="17"/>
  <c r="AD55" i="17"/>
  <c r="AL46" i="17"/>
  <c r="AM46" i="17"/>
  <c r="AN46" i="17"/>
  <c r="X25" i="17"/>
  <c r="X27" i="17"/>
  <c r="W25" i="17"/>
  <c r="W27" i="17"/>
  <c r="V25" i="17"/>
  <c r="V27" i="17"/>
  <c r="U27" i="17"/>
  <c r="T26" i="17"/>
  <c r="T25" i="17"/>
  <c r="T24" i="17"/>
  <c r="T23" i="17"/>
  <c r="AE50" i="17"/>
  <c r="AF50" i="17"/>
  <c r="AG50" i="17"/>
  <c r="AH50" i="17"/>
  <c r="AI50" i="17"/>
  <c r="AJ50" i="17"/>
  <c r="AK50" i="17"/>
  <c r="AL50" i="17"/>
  <c r="AM50" i="17"/>
  <c r="AN50" i="17"/>
  <c r="AL54" i="17"/>
  <c r="AM54" i="17"/>
  <c r="AN54" i="17"/>
  <c r="AB116" i="17"/>
  <c r="AB112" i="17"/>
  <c r="AD115" i="17"/>
  <c r="AC116" i="17"/>
  <c r="AE116" i="17"/>
  <c r="AB117" i="17"/>
  <c r="AC117" i="17"/>
  <c r="AE117" i="17"/>
  <c r="AB118" i="17"/>
  <c r="AE118" i="17"/>
  <c r="AB119" i="17"/>
  <c r="AE119" i="17"/>
  <c r="AB120" i="17"/>
  <c r="AE120" i="17"/>
  <c r="AB121" i="17"/>
  <c r="AE121" i="17"/>
  <c r="AB122" i="17"/>
  <c r="AE122" i="17"/>
  <c r="AB123" i="17"/>
  <c r="AE123" i="17"/>
  <c r="AB124" i="17"/>
  <c r="AE124" i="17"/>
  <c r="AB125" i="17"/>
  <c r="AE125" i="17"/>
  <c r="AB126" i="17"/>
  <c r="AE126" i="17"/>
  <c r="AO113" i="17"/>
  <c r="AB127" i="17"/>
  <c r="AE127" i="17"/>
  <c r="AP113" i="17"/>
  <c r="AB128" i="17"/>
  <c r="AE128" i="17"/>
  <c r="AQ113" i="17"/>
  <c r="AB129" i="17"/>
  <c r="AE129" i="17"/>
  <c r="AR113" i="17"/>
  <c r="AB130" i="17"/>
  <c r="AE130" i="17"/>
  <c r="AS113" i="17"/>
  <c r="AB131" i="17"/>
  <c r="AE131" i="17"/>
  <c r="AE134" i="17"/>
  <c r="AE91" i="17"/>
  <c r="AB92" i="17"/>
  <c r="AC92" i="17"/>
  <c r="AE92" i="17"/>
  <c r="AB93" i="17"/>
  <c r="AE93" i="17"/>
  <c r="AB94" i="17"/>
  <c r="AE94" i="17"/>
  <c r="AB95" i="17"/>
  <c r="AE95" i="17"/>
  <c r="AB96" i="17"/>
  <c r="AE96" i="17"/>
  <c r="AB97" i="17"/>
  <c r="AE97" i="17"/>
  <c r="AB98" i="17"/>
  <c r="AE98" i="17"/>
  <c r="AB99" i="17"/>
  <c r="AE99" i="17"/>
  <c r="AB100" i="17"/>
  <c r="AE100" i="17"/>
  <c r="AB101" i="17"/>
  <c r="AE101" i="17"/>
  <c r="AO88" i="17"/>
  <c r="AB102" i="17"/>
  <c r="AE102" i="17"/>
  <c r="AP88" i="17"/>
  <c r="AB103" i="17"/>
  <c r="AE103" i="17"/>
  <c r="AQ88" i="17"/>
  <c r="AB104" i="17"/>
  <c r="AE104" i="17"/>
  <c r="AR88" i="17"/>
  <c r="AB105" i="17"/>
  <c r="AE105" i="17"/>
  <c r="AS88" i="17"/>
  <c r="AB106" i="17"/>
  <c r="AE106" i="17"/>
  <c r="AE109" i="17"/>
  <c r="AE140" i="17"/>
  <c r="AF116" i="17"/>
  <c r="AF117" i="17"/>
  <c r="AC118" i="17"/>
  <c r="AF118" i="17"/>
  <c r="AF119" i="17"/>
  <c r="AF120" i="17"/>
  <c r="AF121" i="17"/>
  <c r="AF122" i="17"/>
  <c r="AF123" i="17"/>
  <c r="AF124" i="17"/>
  <c r="AF125" i="17"/>
  <c r="AF126" i="17"/>
  <c r="AF127" i="17"/>
  <c r="AF128" i="17"/>
  <c r="AF129" i="17"/>
  <c r="AF130" i="17"/>
  <c r="AF131" i="17"/>
  <c r="AF134" i="17"/>
  <c r="AF91" i="17"/>
  <c r="AF92" i="17"/>
  <c r="AC93" i="17"/>
  <c r="AF93" i="17"/>
  <c r="AF94" i="17"/>
  <c r="AF95" i="17"/>
  <c r="AF96" i="17"/>
  <c r="AF97" i="17"/>
  <c r="AF98" i="17"/>
  <c r="AF99" i="17"/>
  <c r="AF100" i="17"/>
  <c r="AF101" i="17"/>
  <c r="AF102" i="17"/>
  <c r="AF103" i="17"/>
  <c r="AF104" i="17"/>
  <c r="AF105" i="17"/>
  <c r="AF106" i="17"/>
  <c r="AF109" i="17"/>
  <c r="AF140" i="17"/>
  <c r="AG116" i="17"/>
  <c r="AG117" i="17"/>
  <c r="AG118" i="17"/>
  <c r="AC119" i="17"/>
  <c r="AG119" i="17"/>
  <c r="AG120" i="17"/>
  <c r="AG121" i="17"/>
  <c r="AG122" i="17"/>
  <c r="AG123" i="17"/>
  <c r="AG124" i="17"/>
  <c r="AG125" i="17"/>
  <c r="AG126" i="17"/>
  <c r="AG127" i="17"/>
  <c r="AG128" i="17"/>
  <c r="AG129" i="17"/>
  <c r="AG130" i="17"/>
  <c r="AG131" i="17"/>
  <c r="AG134" i="17"/>
  <c r="AG91" i="17"/>
  <c r="AG92" i="17"/>
  <c r="AG93" i="17"/>
  <c r="AC94" i="17"/>
  <c r="AG94" i="17"/>
  <c r="AG95" i="17"/>
  <c r="AG96" i="17"/>
  <c r="AG97" i="17"/>
  <c r="AG98" i="17"/>
  <c r="AG99" i="17"/>
  <c r="AG100" i="17"/>
  <c r="AG101" i="17"/>
  <c r="AG102" i="17"/>
  <c r="AG103" i="17"/>
  <c r="AG104" i="17"/>
  <c r="AG105" i="17"/>
  <c r="AG106" i="17"/>
  <c r="AG109" i="17"/>
  <c r="AG140" i="17"/>
  <c r="AH116" i="17"/>
  <c r="AH117" i="17"/>
  <c r="AH118" i="17"/>
  <c r="AH119" i="17"/>
  <c r="AC120" i="17"/>
  <c r="AH120" i="17"/>
  <c r="AH121" i="17"/>
  <c r="AH122" i="17"/>
  <c r="AH123" i="17"/>
  <c r="AH124" i="17"/>
  <c r="AH125" i="17"/>
  <c r="AH126" i="17"/>
  <c r="AH127" i="17"/>
  <c r="AH128" i="17"/>
  <c r="AH129" i="17"/>
  <c r="AH130" i="17"/>
  <c r="AH131" i="17"/>
  <c r="AH134" i="17"/>
  <c r="AH91" i="17"/>
  <c r="AH92" i="17"/>
  <c r="AH93" i="17"/>
  <c r="AH94" i="17"/>
  <c r="AC95" i="17"/>
  <c r="AH95" i="17"/>
  <c r="AH96" i="17"/>
  <c r="AH97" i="17"/>
  <c r="AH98" i="17"/>
  <c r="AH99" i="17"/>
  <c r="AH100" i="17"/>
  <c r="AH101" i="17"/>
  <c r="AH102" i="17"/>
  <c r="AH103" i="17"/>
  <c r="AH104" i="17"/>
  <c r="AH105" i="17"/>
  <c r="AH106" i="17"/>
  <c r="AH109" i="17"/>
  <c r="AH140" i="17"/>
  <c r="AI116" i="17"/>
  <c r="AI117" i="17"/>
  <c r="AI118" i="17"/>
  <c r="AI119" i="17"/>
  <c r="AI120" i="17"/>
  <c r="AC121" i="17"/>
  <c r="AI121" i="17"/>
  <c r="AI122" i="17"/>
  <c r="AI123" i="17"/>
  <c r="AI124" i="17"/>
  <c r="AI125" i="17"/>
  <c r="AI126" i="17"/>
  <c r="AI127" i="17"/>
  <c r="AI128" i="17"/>
  <c r="AI129" i="17"/>
  <c r="AI130" i="17"/>
  <c r="AI131" i="17"/>
  <c r="AI134" i="17"/>
  <c r="AI91" i="17"/>
  <c r="AI92" i="17"/>
  <c r="AI93" i="17"/>
  <c r="AI94" i="17"/>
  <c r="AI95" i="17"/>
  <c r="AC96" i="17"/>
  <c r="AI96" i="17"/>
  <c r="AI97" i="17"/>
  <c r="AI98" i="17"/>
  <c r="AI99" i="17"/>
  <c r="AI100" i="17"/>
  <c r="AI101" i="17"/>
  <c r="AI102" i="17"/>
  <c r="AI103" i="17"/>
  <c r="AI104" i="17"/>
  <c r="AI105" i="17"/>
  <c r="AI106" i="17"/>
  <c r="AI109" i="17"/>
  <c r="AI140" i="17"/>
  <c r="AJ116" i="17"/>
  <c r="AJ117" i="17"/>
  <c r="AJ118" i="17"/>
  <c r="AJ119" i="17"/>
  <c r="AJ120" i="17"/>
  <c r="AJ121" i="17"/>
  <c r="AC122" i="17"/>
  <c r="AJ122" i="17"/>
  <c r="AJ123" i="17"/>
  <c r="AJ124" i="17"/>
  <c r="AJ125" i="17"/>
  <c r="AJ126" i="17"/>
  <c r="AJ127" i="17"/>
  <c r="AJ128" i="17"/>
  <c r="AJ129" i="17"/>
  <c r="AJ130" i="17"/>
  <c r="AJ131" i="17"/>
  <c r="AJ134" i="17"/>
  <c r="AJ91" i="17"/>
  <c r="AJ92" i="17"/>
  <c r="AJ93" i="17"/>
  <c r="AJ94" i="17"/>
  <c r="AJ95" i="17"/>
  <c r="AJ96" i="17"/>
  <c r="AC97" i="17"/>
  <c r="AJ97" i="17"/>
  <c r="AJ98" i="17"/>
  <c r="AJ99" i="17"/>
  <c r="AJ100" i="17"/>
  <c r="AJ101" i="17"/>
  <c r="AJ102" i="17"/>
  <c r="AJ103" i="17"/>
  <c r="AJ104" i="17"/>
  <c r="AJ105" i="17"/>
  <c r="AJ106" i="17"/>
  <c r="AJ109" i="17"/>
  <c r="AJ140" i="17"/>
  <c r="AK116" i="17"/>
  <c r="AK117" i="17"/>
  <c r="AK118" i="17"/>
  <c r="AK119" i="17"/>
  <c r="AK120" i="17"/>
  <c r="AK121" i="17"/>
  <c r="AK122" i="17"/>
  <c r="AC123" i="17"/>
  <c r="AK123" i="17"/>
  <c r="AK124" i="17"/>
  <c r="AK125" i="17"/>
  <c r="AK126" i="17"/>
  <c r="AK127" i="17"/>
  <c r="AK128" i="17"/>
  <c r="AK129" i="17"/>
  <c r="AK130" i="17"/>
  <c r="AK131" i="17"/>
  <c r="AK134" i="17"/>
  <c r="AK91" i="17"/>
  <c r="AK92" i="17"/>
  <c r="AK93" i="17"/>
  <c r="AK94" i="17"/>
  <c r="AK95" i="17"/>
  <c r="AK96" i="17"/>
  <c r="AK97" i="17"/>
  <c r="AC98" i="17"/>
  <c r="AK98" i="17"/>
  <c r="AK99" i="17"/>
  <c r="AK100" i="17"/>
  <c r="AK101" i="17"/>
  <c r="AK102" i="17"/>
  <c r="AK103" i="17"/>
  <c r="AK104" i="17"/>
  <c r="AK105" i="17"/>
  <c r="AK106" i="17"/>
  <c r="AK109" i="17"/>
  <c r="AK140" i="17"/>
  <c r="AL116" i="17"/>
  <c r="AL117" i="17"/>
  <c r="AL118" i="17"/>
  <c r="AL119" i="17"/>
  <c r="AL120" i="17"/>
  <c r="AL121" i="17"/>
  <c r="AL122" i="17"/>
  <c r="AL123" i="17"/>
  <c r="AC124" i="17"/>
  <c r="AL124" i="17"/>
  <c r="AL125" i="17"/>
  <c r="AL126" i="17"/>
  <c r="AL127" i="17"/>
  <c r="AL128" i="17"/>
  <c r="AL129" i="17"/>
  <c r="AL130" i="17"/>
  <c r="AL131" i="17"/>
  <c r="AL134" i="17"/>
  <c r="AL91" i="17"/>
  <c r="AL92" i="17"/>
  <c r="AL93" i="17"/>
  <c r="AL94" i="17"/>
  <c r="AL95" i="17"/>
  <c r="AL96" i="17"/>
  <c r="AL97" i="17"/>
  <c r="AL98" i="17"/>
  <c r="AC99" i="17"/>
  <c r="AL99" i="17"/>
  <c r="AL100" i="17"/>
  <c r="AL101" i="17"/>
  <c r="AL102" i="17"/>
  <c r="AL103" i="17"/>
  <c r="AL104" i="17"/>
  <c r="AL105" i="17"/>
  <c r="AL106" i="17"/>
  <c r="AL109" i="17"/>
  <c r="AL140" i="17"/>
  <c r="AM116" i="17"/>
  <c r="AM117" i="17"/>
  <c r="AM118" i="17"/>
  <c r="AM119" i="17"/>
  <c r="AM120" i="17"/>
  <c r="AM121" i="17"/>
  <c r="AM122" i="17"/>
  <c r="AM123" i="17"/>
  <c r="AM124" i="17"/>
  <c r="AC125" i="17"/>
  <c r="AM125" i="17"/>
  <c r="AM126" i="17"/>
  <c r="AM127" i="17"/>
  <c r="AM128" i="17"/>
  <c r="AM129" i="17"/>
  <c r="AM130" i="17"/>
  <c r="AM131" i="17"/>
  <c r="AM134" i="17"/>
  <c r="AM91" i="17"/>
  <c r="AM92" i="17"/>
  <c r="AM93" i="17"/>
  <c r="AM94" i="17"/>
  <c r="AM95" i="17"/>
  <c r="AM96" i="17"/>
  <c r="AM97" i="17"/>
  <c r="AM98" i="17"/>
  <c r="AM99" i="17"/>
  <c r="AC100" i="17"/>
  <c r="AM100" i="17"/>
  <c r="AM101" i="17"/>
  <c r="AM102" i="17"/>
  <c r="AM103" i="17"/>
  <c r="AM104" i="17"/>
  <c r="AM105" i="17"/>
  <c r="AM106" i="17"/>
  <c r="AM109" i="17"/>
  <c r="AM140" i="17"/>
  <c r="AN116" i="17"/>
  <c r="AN117" i="17"/>
  <c r="AN118" i="17"/>
  <c r="AN119" i="17"/>
  <c r="AN120" i="17"/>
  <c r="AN121" i="17"/>
  <c r="AN122" i="17"/>
  <c r="AN123" i="17"/>
  <c r="AN124" i="17"/>
  <c r="AN125" i="17"/>
  <c r="AC126" i="17"/>
  <c r="AN126" i="17"/>
  <c r="AN127" i="17"/>
  <c r="AN128" i="17"/>
  <c r="AN129" i="17"/>
  <c r="AN130" i="17"/>
  <c r="AN131" i="17"/>
  <c r="AN134" i="17"/>
  <c r="AN91" i="17"/>
  <c r="AN92" i="17"/>
  <c r="AN93" i="17"/>
  <c r="AN94" i="17"/>
  <c r="AN95" i="17"/>
  <c r="AN96" i="17"/>
  <c r="AN97" i="17"/>
  <c r="AN98" i="17"/>
  <c r="AN99" i="17"/>
  <c r="AN100" i="17"/>
  <c r="AC101" i="17"/>
  <c r="AN101" i="17"/>
  <c r="AN102" i="17"/>
  <c r="AN103" i="17"/>
  <c r="AN104" i="17"/>
  <c r="AN105" i="17"/>
  <c r="AN106" i="17"/>
  <c r="AN109" i="17"/>
  <c r="AN140" i="17"/>
  <c r="AD116" i="17"/>
  <c r="AD117" i="17"/>
  <c r="AD118" i="17"/>
  <c r="AD119" i="17"/>
  <c r="AD120" i="17"/>
  <c r="AD121" i="17"/>
  <c r="AD122" i="17"/>
  <c r="AD123" i="17"/>
  <c r="AD124" i="17"/>
  <c r="AD125" i="17"/>
  <c r="AD126" i="17"/>
  <c r="AD127" i="17"/>
  <c r="AD128" i="17"/>
  <c r="AD129" i="17"/>
  <c r="AD130" i="17"/>
  <c r="AD131" i="17"/>
  <c r="AD134" i="17"/>
  <c r="AD92" i="17"/>
  <c r="AD93" i="17"/>
  <c r="AD94" i="17"/>
  <c r="AD95" i="17"/>
  <c r="AD96" i="17"/>
  <c r="AD97" i="17"/>
  <c r="AD98" i="17"/>
  <c r="AD99" i="17"/>
  <c r="AD100" i="17"/>
  <c r="AD101" i="17"/>
  <c r="AD102" i="17"/>
  <c r="AD103" i="17"/>
  <c r="AD104" i="17"/>
  <c r="AD105" i="17"/>
  <c r="AD106" i="17"/>
  <c r="AD107" i="17"/>
  <c r="B2" i="17"/>
  <c r="AE55" i="17"/>
  <c r="AF55" i="17"/>
  <c r="AG55" i="17"/>
  <c r="AI55" i="17"/>
  <c r="AJ55" i="17"/>
  <c r="AK55" i="17"/>
  <c r="AL55" i="17"/>
  <c r="AM55" i="17"/>
  <c r="AN55" i="17"/>
  <c r="AE58" i="17"/>
  <c r="AF58" i="17"/>
  <c r="AG58" i="17"/>
  <c r="AH58" i="17"/>
  <c r="AI58" i="17"/>
  <c r="AJ58" i="17"/>
  <c r="AK58" i="17"/>
  <c r="AL58" i="17"/>
  <c r="AM58" i="17"/>
  <c r="AN58" i="17"/>
  <c r="AD38" i="17"/>
  <c r="AE56" i="17"/>
  <c r="AF56" i="17"/>
  <c r="AG56" i="17"/>
  <c r="AI56" i="17"/>
  <c r="AJ56" i="17"/>
  <c r="AK56" i="17"/>
  <c r="AL56" i="17"/>
  <c r="AM56" i="17"/>
  <c r="AN56" i="17"/>
  <c r="AE57" i="17"/>
  <c r="AF57" i="17"/>
  <c r="AG57" i="17"/>
  <c r="AH57" i="17"/>
  <c r="AI57" i="17"/>
  <c r="AJ57" i="17"/>
  <c r="AK57" i="17"/>
  <c r="AL57" i="17"/>
  <c r="AM57" i="17"/>
  <c r="AN57" i="17"/>
  <c r="S8" i="17"/>
  <c r="S9" i="17"/>
  <c r="S10" i="17"/>
  <c r="AC87" i="17"/>
  <c r="AD87" i="17"/>
  <c r="S80" i="17"/>
  <c r="AA89" i="17"/>
  <c r="AD90" i="17"/>
  <c r="AE90" i="17"/>
  <c r="AF90" i="17"/>
  <c r="AG90" i="17"/>
  <c r="AH90" i="17"/>
  <c r="AI90" i="17"/>
  <c r="AJ90" i="17"/>
  <c r="AK90" i="17"/>
  <c r="AL90" i="17"/>
  <c r="AM90" i="17"/>
  <c r="AN90" i="17"/>
  <c r="AO90" i="17"/>
  <c r="AP90" i="17"/>
  <c r="AQ90" i="17"/>
  <c r="AR90" i="17"/>
  <c r="AS90" i="17"/>
  <c r="AO91" i="17"/>
  <c r="AP91" i="17"/>
  <c r="AQ91" i="17"/>
  <c r="AR91" i="17"/>
  <c r="AS91" i="17"/>
  <c r="AO92" i="17"/>
  <c r="AP92" i="17"/>
  <c r="AQ92" i="17"/>
  <c r="AR92" i="17"/>
  <c r="AS92" i="17"/>
  <c r="AO93" i="17"/>
  <c r="AP93" i="17"/>
  <c r="AQ93" i="17"/>
  <c r="AR93" i="17"/>
  <c r="AS93" i="17"/>
  <c r="AO94" i="17"/>
  <c r="AP94" i="17"/>
  <c r="AQ94" i="17"/>
  <c r="AR94" i="17"/>
  <c r="AS94" i="17"/>
  <c r="AO95" i="17"/>
  <c r="AP95" i="17"/>
  <c r="AQ95" i="17"/>
  <c r="AR95" i="17"/>
  <c r="AS95" i="17"/>
  <c r="AO96" i="17"/>
  <c r="AP96" i="17"/>
  <c r="AQ96" i="17"/>
  <c r="AR96" i="17"/>
  <c r="AS96" i="17"/>
  <c r="AO97" i="17"/>
  <c r="AP97" i="17"/>
  <c r="AQ97" i="17"/>
  <c r="AR97" i="17"/>
  <c r="AS97" i="17"/>
  <c r="AO98" i="17"/>
  <c r="AP98" i="17"/>
  <c r="AQ98" i="17"/>
  <c r="AR98" i="17"/>
  <c r="AS98" i="17"/>
  <c r="AO99" i="17"/>
  <c r="AP99" i="17"/>
  <c r="AQ99" i="17"/>
  <c r="AR99" i="17"/>
  <c r="AS99" i="17"/>
  <c r="AO100" i="17"/>
  <c r="AP100" i="17"/>
  <c r="AQ100" i="17"/>
  <c r="AR100" i="17"/>
  <c r="AS100" i="17"/>
  <c r="AO101" i="17"/>
  <c r="AP101" i="17"/>
  <c r="AQ101" i="17"/>
  <c r="AR101" i="17"/>
  <c r="AS101" i="17"/>
  <c r="AC102" i="17"/>
  <c r="AO102" i="17"/>
  <c r="AP102" i="17"/>
  <c r="AQ102" i="17"/>
  <c r="AR102" i="17"/>
  <c r="AS102" i="17"/>
  <c r="AC103" i="17"/>
  <c r="AO103" i="17"/>
  <c r="AP103" i="17"/>
  <c r="AQ103" i="17"/>
  <c r="AR103" i="17"/>
  <c r="AS103" i="17"/>
  <c r="AC104" i="17"/>
  <c r="AO104" i="17"/>
  <c r="AP104" i="17"/>
  <c r="AQ104" i="17"/>
  <c r="AR104" i="17"/>
  <c r="AS104" i="17"/>
  <c r="AC105" i="17"/>
  <c r="AO105" i="17"/>
  <c r="AP105" i="17"/>
  <c r="AQ105" i="17"/>
  <c r="AR105" i="17"/>
  <c r="AS105" i="17"/>
  <c r="AC106" i="17"/>
  <c r="AO106" i="17"/>
  <c r="AP106" i="17"/>
  <c r="AQ106" i="17"/>
  <c r="AR106" i="17"/>
  <c r="AS106" i="17"/>
  <c r="AE108" i="17"/>
  <c r="AE107" i="17"/>
  <c r="AF108" i="17"/>
  <c r="AF107" i="17"/>
  <c r="AG108" i="17"/>
  <c r="AG107" i="17"/>
  <c r="AH108" i="17"/>
  <c r="AH107" i="17"/>
  <c r="AI108" i="17"/>
  <c r="AI107" i="17"/>
  <c r="AJ108" i="17"/>
  <c r="AJ107" i="17"/>
  <c r="AK108" i="17"/>
  <c r="AK107" i="17"/>
  <c r="AL108" i="17"/>
  <c r="AL107" i="17"/>
  <c r="AM108" i="17"/>
  <c r="AM107" i="17"/>
  <c r="AN108" i="17"/>
  <c r="AN107" i="17"/>
  <c r="AO109" i="17"/>
  <c r="AO108" i="17"/>
  <c r="AO107" i="17"/>
  <c r="AP109" i="17"/>
  <c r="AP108" i="17"/>
  <c r="AP107" i="17"/>
  <c r="AQ109" i="17"/>
  <c r="AQ108" i="17"/>
  <c r="AQ107" i="17"/>
  <c r="AR109" i="17"/>
  <c r="AR108" i="17"/>
  <c r="AR107" i="17"/>
  <c r="AS109" i="17"/>
  <c r="AS108" i="17"/>
  <c r="AS107" i="17"/>
  <c r="AC112" i="17"/>
  <c r="AD112" i="17"/>
  <c r="S83" i="17"/>
  <c r="AA114" i="17"/>
  <c r="AE115" i="17"/>
  <c r="AF115" i="17"/>
  <c r="AG115" i="17"/>
  <c r="AH115" i="17"/>
  <c r="AI115" i="17"/>
  <c r="AJ115" i="17"/>
  <c r="AK115" i="17"/>
  <c r="AL115" i="17"/>
  <c r="AM115" i="17"/>
  <c r="AN115" i="17"/>
  <c r="AO115" i="17"/>
  <c r="AP115" i="17"/>
  <c r="AQ115" i="17"/>
  <c r="AR115" i="17"/>
  <c r="AS115" i="17"/>
  <c r="AO116" i="17"/>
  <c r="AP116" i="17"/>
  <c r="AQ116" i="17"/>
  <c r="AR116" i="17"/>
  <c r="AS116" i="17"/>
  <c r="AO117" i="17"/>
  <c r="AP117" i="17"/>
  <c r="AQ117" i="17"/>
  <c r="AR117" i="17"/>
  <c r="AS117" i="17"/>
  <c r="AO118" i="17"/>
  <c r="AP118" i="17"/>
  <c r="AQ118" i="17"/>
  <c r="AR118" i="17"/>
  <c r="AS118" i="17"/>
  <c r="AO119" i="17"/>
  <c r="AP119" i="17"/>
  <c r="AQ119" i="17"/>
  <c r="AR119" i="17"/>
  <c r="AS119" i="17"/>
  <c r="AO120" i="17"/>
  <c r="AP120" i="17"/>
  <c r="AQ120" i="17"/>
  <c r="AR120" i="17"/>
  <c r="AS120" i="17"/>
  <c r="AO121" i="17"/>
  <c r="AP121" i="17"/>
  <c r="AQ121" i="17"/>
  <c r="AR121" i="17"/>
  <c r="AS121" i="17"/>
  <c r="AO122" i="17"/>
  <c r="AP122" i="17"/>
  <c r="AQ122" i="17"/>
  <c r="AR122" i="17"/>
  <c r="AS122" i="17"/>
  <c r="AO123" i="17"/>
  <c r="AP123" i="17"/>
  <c r="AQ123" i="17"/>
  <c r="AR123" i="17"/>
  <c r="AS123" i="17"/>
  <c r="AO124" i="17"/>
  <c r="AP124" i="17"/>
  <c r="AQ124" i="17"/>
  <c r="AR124" i="17"/>
  <c r="AS124" i="17"/>
  <c r="AO125" i="17"/>
  <c r="AP125" i="17"/>
  <c r="AQ125" i="17"/>
  <c r="AR125" i="17"/>
  <c r="AS125" i="17"/>
  <c r="AO126" i="17"/>
  <c r="AP126" i="17"/>
  <c r="AQ126" i="17"/>
  <c r="AR126" i="17"/>
  <c r="AS126" i="17"/>
  <c r="AC127" i="17"/>
  <c r="AO127" i="17"/>
  <c r="AP127" i="17"/>
  <c r="AQ127" i="17"/>
  <c r="AR127" i="17"/>
  <c r="AS127" i="17"/>
  <c r="AC128" i="17"/>
  <c r="AO128" i="17"/>
  <c r="AP128" i="17"/>
  <c r="AQ128" i="17"/>
  <c r="AR128" i="17"/>
  <c r="AS128" i="17"/>
  <c r="AC129" i="17"/>
  <c r="AO129" i="17"/>
  <c r="AP129" i="17"/>
  <c r="AQ129" i="17"/>
  <c r="AR129" i="17"/>
  <c r="AS129" i="17"/>
  <c r="AC130" i="17"/>
  <c r="AO130" i="17"/>
  <c r="AP130" i="17"/>
  <c r="AQ130" i="17"/>
  <c r="AR130" i="17"/>
  <c r="AS130" i="17"/>
  <c r="AC131" i="17"/>
  <c r="AO131" i="17"/>
  <c r="AP131" i="17"/>
  <c r="AQ131" i="17"/>
  <c r="AR131" i="17"/>
  <c r="AS131" i="17"/>
  <c r="AD132" i="17"/>
  <c r="AE133" i="17"/>
  <c r="AE132" i="17"/>
  <c r="AF133" i="17"/>
  <c r="AF132" i="17"/>
  <c r="AG133" i="17"/>
  <c r="AG132" i="17"/>
  <c r="AH133" i="17"/>
  <c r="AH132" i="17"/>
  <c r="AI133" i="17"/>
  <c r="AI132" i="17"/>
  <c r="AJ133" i="17"/>
  <c r="AJ132" i="17"/>
  <c r="AK133" i="17"/>
  <c r="AK132" i="17"/>
  <c r="AL133" i="17"/>
  <c r="AL132" i="17"/>
  <c r="AM133" i="17"/>
  <c r="AM132" i="17"/>
  <c r="AN133" i="17"/>
  <c r="AN132" i="17"/>
  <c r="AO134" i="17"/>
  <c r="AO133" i="17"/>
  <c r="AO132" i="17"/>
  <c r="AP134" i="17"/>
  <c r="AP133" i="17"/>
  <c r="AP132" i="17"/>
  <c r="AQ134" i="17"/>
  <c r="AQ133" i="17"/>
  <c r="AQ132" i="17"/>
  <c r="AR134" i="17"/>
  <c r="AR133" i="17"/>
  <c r="AR132" i="17"/>
  <c r="AS134" i="17"/>
  <c r="AS133" i="17"/>
  <c r="AS132" i="17"/>
  <c r="AO140" i="17"/>
  <c r="AP140" i="17"/>
  <c r="AQ140" i="17"/>
  <c r="AR140" i="17"/>
  <c r="AS140" i="17"/>
  <c r="AD61" i="17"/>
  <c r="S75" i="17"/>
  <c r="S76" i="17"/>
  <c r="S77" i="17"/>
  <c r="S78" i="17"/>
  <c r="S79" i="17"/>
  <c r="S81" i="17"/>
  <c r="S82" i="17"/>
  <c r="D4" i="4"/>
  <c r="D5" i="4"/>
  <c r="S11" i="17"/>
  <c r="AD30" i="17"/>
  <c r="E44" i="13"/>
  <c r="C28" i="13"/>
  <c r="C29" i="13"/>
  <c r="C27" i="13"/>
  <c r="F8" i="4"/>
  <c r="G8" i="4"/>
  <c r="G7" i="4"/>
  <c r="F7" i="4"/>
  <c r="G6" i="4"/>
  <c r="F6" i="4"/>
  <c r="E6" i="4"/>
  <c r="E7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3" i="4"/>
  <c r="F25" i="4"/>
  <c r="F26" i="4"/>
  <c r="F2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3" i="4"/>
  <c r="G25" i="4"/>
  <c r="G26" i="4"/>
  <c r="G28" i="4"/>
  <c r="E9" i="4"/>
  <c r="E10" i="4"/>
  <c r="E11" i="4"/>
  <c r="E12" i="4"/>
  <c r="E22" i="4"/>
  <c r="E24" i="4"/>
  <c r="E25" i="4"/>
  <c r="E27" i="4"/>
  <c r="E30" i="4"/>
  <c r="E32" i="4"/>
  <c r="F22" i="4"/>
  <c r="F24" i="4"/>
  <c r="F27" i="4"/>
  <c r="F30" i="4"/>
  <c r="F32" i="4"/>
  <c r="G22" i="4"/>
  <c r="G24" i="4"/>
  <c r="G27" i="4"/>
  <c r="G30" i="4"/>
  <c r="G32" i="4"/>
  <c r="E34" i="4"/>
  <c r="F34" i="4"/>
  <c r="G34" i="4"/>
  <c r="E23" i="4"/>
  <c r="E26" i="4"/>
  <c r="E28" i="4"/>
  <c r="G29" i="4"/>
  <c r="F29" i="4"/>
  <c r="E29" i="4"/>
  <c r="E31" i="4"/>
  <c r="E33" i="4"/>
  <c r="F31" i="4"/>
  <c r="F33" i="4"/>
  <c r="G31" i="4"/>
  <c r="G33" i="4"/>
  <c r="E35" i="4"/>
  <c r="G35" i="4"/>
  <c r="F35" i="4"/>
  <c r="E36" i="4"/>
  <c r="G36" i="4"/>
  <c r="F36" i="4"/>
  <c r="H8" i="4"/>
  <c r="H9" i="4"/>
  <c r="H10" i="4"/>
  <c r="H11" i="4"/>
  <c r="H13" i="4"/>
  <c r="H18" i="4"/>
  <c r="H14" i="4"/>
  <c r="H15" i="4"/>
  <c r="H16" i="4"/>
  <c r="H17" i="4"/>
  <c r="H22" i="4"/>
  <c r="H25" i="4"/>
  <c r="H30" i="4"/>
  <c r="I8" i="4"/>
  <c r="I9" i="4"/>
  <c r="I10" i="4"/>
  <c r="I11" i="4"/>
  <c r="I13" i="4"/>
  <c r="I18" i="4"/>
  <c r="I14" i="4"/>
  <c r="I15" i="4"/>
  <c r="I16" i="4"/>
  <c r="I17" i="4"/>
  <c r="I22" i="4"/>
  <c r="I25" i="4"/>
  <c r="I30" i="4"/>
  <c r="I12" i="4"/>
  <c r="I24" i="4"/>
  <c r="I27" i="4"/>
  <c r="I32" i="4"/>
  <c r="H12" i="4"/>
  <c r="H24" i="4"/>
  <c r="H27" i="4"/>
  <c r="H32" i="4"/>
  <c r="H34" i="4"/>
  <c r="I34" i="4"/>
  <c r="J8" i="4"/>
  <c r="J9" i="4"/>
  <c r="J10" i="4"/>
  <c r="J11" i="4"/>
  <c r="J13" i="4"/>
  <c r="J18" i="4"/>
  <c r="J14" i="4"/>
  <c r="J15" i="4"/>
  <c r="J16" i="4"/>
  <c r="J17" i="4"/>
  <c r="J22" i="4"/>
  <c r="J25" i="4"/>
  <c r="J30" i="4"/>
  <c r="J12" i="4"/>
  <c r="J24" i="4"/>
  <c r="J27" i="4"/>
  <c r="J32" i="4"/>
  <c r="J34" i="4"/>
  <c r="K8" i="4"/>
  <c r="K9" i="4"/>
  <c r="K10" i="4"/>
  <c r="K11" i="4"/>
  <c r="K13" i="4"/>
  <c r="K18" i="4"/>
  <c r="K14" i="4"/>
  <c r="K15" i="4"/>
  <c r="K16" i="4"/>
  <c r="K17" i="4"/>
  <c r="K22" i="4"/>
  <c r="K25" i="4"/>
  <c r="K30" i="4"/>
  <c r="K12" i="4"/>
  <c r="K24" i="4"/>
  <c r="K27" i="4"/>
  <c r="K32" i="4"/>
  <c r="K34" i="4"/>
  <c r="L8" i="4"/>
  <c r="L9" i="4"/>
  <c r="L10" i="4"/>
  <c r="L11" i="4"/>
  <c r="L13" i="4"/>
  <c r="L18" i="4"/>
  <c r="L14" i="4"/>
  <c r="L15" i="4"/>
  <c r="L16" i="4"/>
  <c r="L17" i="4"/>
  <c r="L22" i="4"/>
  <c r="L25" i="4"/>
  <c r="L30" i="4"/>
  <c r="L12" i="4"/>
  <c r="L24" i="4"/>
  <c r="L27" i="4"/>
  <c r="L32" i="4"/>
  <c r="L34" i="4"/>
  <c r="M8" i="4"/>
  <c r="M9" i="4"/>
  <c r="M10" i="4"/>
  <c r="M11" i="4"/>
  <c r="M13" i="4"/>
  <c r="M18" i="4"/>
  <c r="M14" i="4"/>
  <c r="M15" i="4"/>
  <c r="M16" i="4"/>
  <c r="M17" i="4"/>
  <c r="M22" i="4"/>
  <c r="M25" i="4"/>
  <c r="M30" i="4"/>
  <c r="M12" i="4"/>
  <c r="M24" i="4"/>
  <c r="M27" i="4"/>
  <c r="M32" i="4"/>
  <c r="M34" i="4"/>
  <c r="N8" i="4"/>
  <c r="N9" i="4"/>
  <c r="N10" i="4"/>
  <c r="N11" i="4"/>
  <c r="N13" i="4"/>
  <c r="N18" i="4"/>
  <c r="N14" i="4"/>
  <c r="N15" i="4"/>
  <c r="N16" i="4"/>
  <c r="N17" i="4"/>
  <c r="N22" i="4"/>
  <c r="N25" i="4"/>
  <c r="N30" i="4"/>
  <c r="N12" i="4"/>
  <c r="N24" i="4"/>
  <c r="N27" i="4"/>
  <c r="N32" i="4"/>
  <c r="N34" i="4"/>
  <c r="O8" i="4"/>
  <c r="O9" i="4"/>
  <c r="O10" i="4"/>
  <c r="O11" i="4"/>
  <c r="O13" i="4"/>
  <c r="O18" i="4"/>
  <c r="O14" i="4"/>
  <c r="O15" i="4"/>
  <c r="O16" i="4"/>
  <c r="O17" i="4"/>
  <c r="O22" i="4"/>
  <c r="O25" i="4"/>
  <c r="O30" i="4"/>
  <c r="O12" i="4"/>
  <c r="O24" i="4"/>
  <c r="O27" i="4"/>
  <c r="O32" i="4"/>
  <c r="O34" i="4"/>
  <c r="P8" i="4"/>
  <c r="P9" i="4"/>
  <c r="P10" i="4"/>
  <c r="P11" i="4"/>
  <c r="P13" i="4"/>
  <c r="P18" i="4"/>
  <c r="P14" i="4"/>
  <c r="P15" i="4"/>
  <c r="P16" i="4"/>
  <c r="P17" i="4"/>
  <c r="P22" i="4"/>
  <c r="P25" i="4"/>
  <c r="P30" i="4"/>
  <c r="P12" i="4"/>
  <c r="P24" i="4"/>
  <c r="P27" i="4"/>
  <c r="P32" i="4"/>
  <c r="P34" i="4"/>
  <c r="Q8" i="4"/>
  <c r="Q9" i="4"/>
  <c r="Q10" i="4"/>
  <c r="Q11" i="4"/>
  <c r="Q13" i="4"/>
  <c r="Q18" i="4"/>
  <c r="Q14" i="4"/>
  <c r="Q15" i="4"/>
  <c r="Q16" i="4"/>
  <c r="Q17" i="4"/>
  <c r="Q22" i="4"/>
  <c r="Q25" i="4"/>
  <c r="Q30" i="4"/>
  <c r="Q12" i="4"/>
  <c r="Q24" i="4"/>
  <c r="Q27" i="4"/>
  <c r="Q32" i="4"/>
  <c r="Q34" i="4"/>
  <c r="R8" i="4"/>
  <c r="R9" i="4"/>
  <c r="R10" i="4"/>
  <c r="R11" i="4"/>
  <c r="R13" i="4"/>
  <c r="R18" i="4"/>
  <c r="R14" i="4"/>
  <c r="R15" i="4"/>
  <c r="R16" i="4"/>
  <c r="R17" i="4"/>
  <c r="R22" i="4"/>
  <c r="R25" i="4"/>
  <c r="R30" i="4"/>
  <c r="R12" i="4"/>
  <c r="R24" i="4"/>
  <c r="R27" i="4"/>
  <c r="R32" i="4"/>
  <c r="R34" i="4"/>
  <c r="S8" i="4"/>
  <c r="S9" i="4"/>
  <c r="S13" i="4"/>
  <c r="S18" i="4"/>
  <c r="S14" i="4"/>
  <c r="S15" i="4"/>
  <c r="S16" i="4"/>
  <c r="S17" i="4"/>
  <c r="S22" i="4"/>
  <c r="S25" i="4"/>
  <c r="S30" i="4"/>
  <c r="S10" i="4"/>
  <c r="S11" i="4"/>
  <c r="S12" i="4"/>
  <c r="S24" i="4"/>
  <c r="S27" i="4"/>
  <c r="S32" i="4"/>
  <c r="S34" i="4"/>
  <c r="T8" i="4"/>
  <c r="T9" i="4"/>
  <c r="T13" i="4"/>
  <c r="T18" i="4"/>
  <c r="T14" i="4"/>
  <c r="T15" i="4"/>
  <c r="T16" i="4"/>
  <c r="T17" i="4"/>
  <c r="T22" i="4"/>
  <c r="T25" i="4"/>
  <c r="T30" i="4"/>
  <c r="T10" i="4"/>
  <c r="T11" i="4"/>
  <c r="T12" i="4"/>
  <c r="T24" i="4"/>
  <c r="T27" i="4"/>
  <c r="T32" i="4"/>
  <c r="T34" i="4"/>
  <c r="U8" i="4"/>
  <c r="U9" i="4"/>
  <c r="U13" i="4"/>
  <c r="U18" i="4"/>
  <c r="U14" i="4"/>
  <c r="U15" i="4"/>
  <c r="U16" i="4"/>
  <c r="U17" i="4"/>
  <c r="U22" i="4"/>
  <c r="U25" i="4"/>
  <c r="U30" i="4"/>
  <c r="U10" i="4"/>
  <c r="U11" i="4"/>
  <c r="U12" i="4"/>
  <c r="U24" i="4"/>
  <c r="U27" i="4"/>
  <c r="U32" i="4"/>
  <c r="U34" i="4"/>
  <c r="V8" i="4"/>
  <c r="V9" i="4"/>
  <c r="V13" i="4"/>
  <c r="V18" i="4"/>
  <c r="V14" i="4"/>
  <c r="V15" i="4"/>
  <c r="V16" i="4"/>
  <c r="V17" i="4"/>
  <c r="V22" i="4"/>
  <c r="V25" i="4"/>
  <c r="V30" i="4"/>
  <c r="V10" i="4"/>
  <c r="V11" i="4"/>
  <c r="V12" i="4"/>
  <c r="V24" i="4"/>
  <c r="V27" i="4"/>
  <c r="V32" i="4"/>
  <c r="V34" i="4"/>
  <c r="W8" i="4"/>
  <c r="W9" i="4"/>
  <c r="W13" i="4"/>
  <c r="W18" i="4"/>
  <c r="W14" i="4"/>
  <c r="W15" i="4"/>
  <c r="W16" i="4"/>
  <c r="W17" i="4"/>
  <c r="W22" i="4"/>
  <c r="W25" i="4"/>
  <c r="W30" i="4"/>
  <c r="W10" i="4"/>
  <c r="W11" i="4"/>
  <c r="W12" i="4"/>
  <c r="W24" i="4"/>
  <c r="W27" i="4"/>
  <c r="W32" i="4"/>
  <c r="W34" i="4"/>
  <c r="X8" i="4"/>
  <c r="X9" i="4"/>
  <c r="X13" i="4"/>
  <c r="X18" i="4"/>
  <c r="X14" i="4"/>
  <c r="X15" i="4"/>
  <c r="X16" i="4"/>
  <c r="X17" i="4"/>
  <c r="X22" i="4"/>
  <c r="X25" i="4"/>
  <c r="X30" i="4"/>
  <c r="X10" i="4"/>
  <c r="X11" i="4"/>
  <c r="X12" i="4"/>
  <c r="X24" i="4"/>
  <c r="X27" i="4"/>
  <c r="X32" i="4"/>
  <c r="X34" i="4"/>
  <c r="Y8" i="4"/>
  <c r="Y9" i="4"/>
  <c r="Y13" i="4"/>
  <c r="Y18" i="4"/>
  <c r="Y14" i="4"/>
  <c r="Y15" i="4"/>
  <c r="Y16" i="4"/>
  <c r="Y17" i="4"/>
  <c r="Y22" i="4"/>
  <c r="Y25" i="4"/>
  <c r="Y30" i="4"/>
  <c r="Y10" i="4"/>
  <c r="Y11" i="4"/>
  <c r="Y12" i="4"/>
  <c r="Y24" i="4"/>
  <c r="Y27" i="4"/>
  <c r="Y32" i="4"/>
  <c r="Y34" i="4"/>
  <c r="H19" i="4"/>
  <c r="H20" i="4"/>
  <c r="H21" i="4"/>
  <c r="I19" i="4"/>
  <c r="I20" i="4"/>
  <c r="I21" i="4"/>
  <c r="I23" i="4"/>
  <c r="I26" i="4"/>
  <c r="I31" i="4"/>
  <c r="H23" i="4"/>
  <c r="H26" i="4"/>
  <c r="H31" i="4"/>
  <c r="H33" i="4"/>
  <c r="I33" i="4"/>
  <c r="J19" i="4"/>
  <c r="J20" i="4"/>
  <c r="J21" i="4"/>
  <c r="J23" i="4"/>
  <c r="J26" i="4"/>
  <c r="J31" i="4"/>
  <c r="J33" i="4"/>
  <c r="K19" i="4"/>
  <c r="K20" i="4"/>
  <c r="K21" i="4"/>
  <c r="K23" i="4"/>
  <c r="K26" i="4"/>
  <c r="K31" i="4"/>
  <c r="K33" i="4"/>
  <c r="L19" i="4"/>
  <c r="L20" i="4"/>
  <c r="L21" i="4"/>
  <c r="L23" i="4"/>
  <c r="L26" i="4"/>
  <c r="L31" i="4"/>
  <c r="L33" i="4"/>
  <c r="M19" i="4"/>
  <c r="M20" i="4"/>
  <c r="M21" i="4"/>
  <c r="M23" i="4"/>
  <c r="M26" i="4"/>
  <c r="M31" i="4"/>
  <c r="M33" i="4"/>
  <c r="N19" i="4"/>
  <c r="N20" i="4"/>
  <c r="N21" i="4"/>
  <c r="N23" i="4"/>
  <c r="N26" i="4"/>
  <c r="N31" i="4"/>
  <c r="N33" i="4"/>
  <c r="O19" i="4"/>
  <c r="O20" i="4"/>
  <c r="O21" i="4"/>
  <c r="O23" i="4"/>
  <c r="O26" i="4"/>
  <c r="O31" i="4"/>
  <c r="O33" i="4"/>
  <c r="Q19" i="4"/>
  <c r="Q20" i="4"/>
  <c r="Q21" i="4"/>
  <c r="P19" i="4"/>
  <c r="P20" i="4"/>
  <c r="P21" i="4"/>
  <c r="P23" i="4"/>
  <c r="P26" i="4"/>
  <c r="P31" i="4"/>
  <c r="P33" i="4"/>
  <c r="Q23" i="4"/>
  <c r="Q26" i="4"/>
  <c r="Q31" i="4"/>
  <c r="Q33" i="4"/>
  <c r="R19" i="4"/>
  <c r="R20" i="4"/>
  <c r="R21" i="4"/>
  <c r="R23" i="4"/>
  <c r="R26" i="4"/>
  <c r="R31" i="4"/>
  <c r="R33" i="4"/>
  <c r="S19" i="4"/>
  <c r="S20" i="4"/>
  <c r="S21" i="4"/>
  <c r="S23" i="4"/>
  <c r="S26" i="4"/>
  <c r="S31" i="4"/>
  <c r="S33" i="4"/>
  <c r="T19" i="4"/>
  <c r="T20" i="4"/>
  <c r="T21" i="4"/>
  <c r="T23" i="4"/>
  <c r="T26" i="4"/>
  <c r="T31" i="4"/>
  <c r="T33" i="4"/>
  <c r="U19" i="4"/>
  <c r="U20" i="4"/>
  <c r="U21" i="4"/>
  <c r="U23" i="4"/>
  <c r="U26" i="4"/>
  <c r="U31" i="4"/>
  <c r="U33" i="4"/>
  <c r="V19" i="4"/>
  <c r="V20" i="4"/>
  <c r="V21" i="4"/>
  <c r="V23" i="4"/>
  <c r="V26" i="4"/>
  <c r="V31" i="4"/>
  <c r="V33" i="4"/>
  <c r="W19" i="4"/>
  <c r="W20" i="4"/>
  <c r="W21" i="4"/>
  <c r="W23" i="4"/>
  <c r="W26" i="4"/>
  <c r="W31" i="4"/>
  <c r="W33" i="4"/>
  <c r="X19" i="4"/>
  <c r="X20" i="4"/>
  <c r="X21" i="4"/>
  <c r="X23" i="4"/>
  <c r="X26" i="4"/>
  <c r="X31" i="4"/>
  <c r="X33" i="4"/>
  <c r="Y19" i="4"/>
  <c r="Y20" i="4"/>
  <c r="Y21" i="4"/>
  <c r="Y23" i="4"/>
  <c r="Y26" i="4"/>
  <c r="Y31" i="4"/>
  <c r="Y33" i="4"/>
  <c r="O57" i="4"/>
  <c r="F57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F56" i="4"/>
  <c r="F55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O55" i="4"/>
  <c r="O56" i="4"/>
  <c r="N7" i="4"/>
  <c r="N6" i="4"/>
  <c r="H7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H6" i="4"/>
  <c r="I6" i="4"/>
  <c r="J6" i="4"/>
  <c r="K6" i="4"/>
  <c r="L6" i="4"/>
  <c r="M6" i="4"/>
  <c r="I7" i="4"/>
  <c r="J7" i="4"/>
  <c r="K7" i="4"/>
  <c r="L7" i="4"/>
  <c r="M7" i="4"/>
  <c r="O6" i="4"/>
  <c r="P6" i="4"/>
  <c r="Q6" i="4"/>
  <c r="R6" i="4"/>
  <c r="S6" i="4"/>
  <c r="T6" i="4"/>
  <c r="U6" i="4"/>
  <c r="V6" i="4"/>
  <c r="W6" i="4"/>
  <c r="X6" i="4"/>
  <c r="Y6" i="4"/>
  <c r="O7" i="4"/>
  <c r="P7" i="4"/>
  <c r="Q7" i="4"/>
  <c r="R7" i="4"/>
  <c r="S7" i="4"/>
  <c r="T7" i="4"/>
  <c r="U7" i="4"/>
  <c r="V7" i="4"/>
  <c r="W7" i="4"/>
  <c r="X7" i="4"/>
  <c r="Y7" i="4"/>
</calcChain>
</file>

<file path=xl/comments1.xml><?xml version="1.0" encoding="utf-8"?>
<comments xmlns="http://schemas.openxmlformats.org/spreadsheetml/2006/main">
  <authors>
    <author>F. Javier De Pablos Martin</author>
    <author>Christophe Christiaen</author>
  </authors>
  <commentList>
    <comment ref="C20" authorId="0" shapeId="0">
      <text>
        <r>
          <rPr>
            <sz val="9"/>
            <color indexed="81"/>
            <rFont val="Tahoma"/>
            <family val="2"/>
          </rPr>
          <t>To include annual increase (%) due to other factors, such as inflation</t>
        </r>
      </text>
    </comment>
    <comment ref="C21" authorId="1" shapeId="0">
      <text>
        <r>
          <rPr>
            <sz val="9"/>
            <color indexed="81"/>
            <rFont val="Tahoma"/>
            <family val="2"/>
          </rPr>
          <t>Annual percentage rate of customers cancelling subscription to yearly service fee.</t>
        </r>
      </text>
    </comment>
  </commentList>
</comments>
</file>

<file path=xl/sharedStrings.xml><?xml version="1.0" encoding="utf-8"?>
<sst xmlns="http://schemas.openxmlformats.org/spreadsheetml/2006/main" count="244" uniqueCount="166">
  <si>
    <t>EBITDA</t>
  </si>
  <si>
    <t>Depreciation</t>
  </si>
  <si>
    <t>PROFIT &amp; LOSS</t>
  </si>
  <si>
    <t xml:space="preserve">     There is no implied or explicit guarantee that this workbook generates</t>
  </si>
  <si>
    <t>Disclaimer:</t>
  </si>
  <si>
    <t>Financial Forecast Workbook</t>
  </si>
  <si>
    <t>Total</t>
  </si>
  <si>
    <t>Marketing</t>
  </si>
  <si>
    <t>Lifetime</t>
  </si>
  <si>
    <t>Total Expenses</t>
  </si>
  <si>
    <t>Cumulative Depreciation</t>
  </si>
  <si>
    <t>Depr. Rate</t>
  </si>
  <si>
    <t>TOTAL DEPRECIATION</t>
  </si>
  <si>
    <t>Investment N.1</t>
  </si>
  <si>
    <t>Investment N.2</t>
  </si>
  <si>
    <t>Investment N.3</t>
  </si>
  <si>
    <t>Book Value (at End of the Year)</t>
  </si>
  <si>
    <t>Cumulative CAPEX (at Start of the Year)</t>
  </si>
  <si>
    <t xml:space="preserve">This workbook is designed to help you develop a financial forecast </t>
  </si>
  <si>
    <t>I.</t>
  </si>
  <si>
    <t>Each stage is shown below and is provided in a separate worksheet in this workbook.</t>
  </si>
  <si>
    <t xml:space="preserve">     The user takes full responsibility for the use of this workbook.  </t>
  </si>
  <si>
    <t xml:space="preserve">     results to accurately reflect the viability of the proposed project.</t>
  </si>
  <si>
    <t>Cost of Capital (WACC)</t>
  </si>
  <si>
    <t>Product</t>
  </si>
  <si>
    <t>Investment N.4</t>
  </si>
  <si>
    <t>OPEX</t>
  </si>
  <si>
    <t>Other Facilities Cost N.1</t>
  </si>
  <si>
    <t>Other Facilities Cost N.2</t>
  </si>
  <si>
    <t>Other Facilities Cost N.3</t>
  </si>
  <si>
    <t>CAPEX</t>
  </si>
  <si>
    <t>Stage I -- Input Data</t>
  </si>
  <si>
    <t>Fill in all the requested fields</t>
  </si>
  <si>
    <t>Customer Segment 1 (CS1)</t>
  </si>
  <si>
    <t>Customer Segment 2 (CS2)</t>
  </si>
  <si>
    <t>Customer Segment 3 (CS3)</t>
  </si>
  <si>
    <t>Revenue Stream</t>
  </si>
  <si>
    <t>Customer Segments</t>
  </si>
  <si>
    <t>Commercial Exploitation Phase</t>
  </si>
  <si>
    <t>Estimated OPEX</t>
  </si>
  <si>
    <t>Estimated CAPEX</t>
  </si>
  <si>
    <t>Sales Volume</t>
  </si>
  <si>
    <t>Input Data</t>
  </si>
  <si>
    <t>Phase</t>
  </si>
  <si>
    <t>Start</t>
  </si>
  <si>
    <t>Conclusion</t>
  </si>
  <si>
    <t>Definition</t>
  </si>
  <si>
    <t>Technology</t>
  </si>
  <si>
    <t>Demonstration</t>
  </si>
  <si>
    <t>Commercial</t>
  </si>
  <si>
    <t>Planning and Costing Summary</t>
  </si>
  <si>
    <t>ESA Funding</t>
  </si>
  <si>
    <t>% of Costs</t>
  </si>
  <si>
    <t>Year -&gt;</t>
  </si>
  <si>
    <t>Development Phase(s)</t>
  </si>
  <si>
    <t>TOTAL</t>
  </si>
  <si>
    <t>Cost of Develoment Phases</t>
  </si>
  <si>
    <t>ESA Financial support</t>
  </si>
  <si>
    <t>Sales</t>
  </si>
  <si>
    <t>Admin</t>
  </si>
  <si>
    <t>Facilities</t>
  </si>
  <si>
    <t>Total Expenses (with ESA)</t>
  </si>
  <si>
    <t>IRR</t>
  </si>
  <si>
    <t>NPV</t>
  </si>
  <si>
    <t xml:space="preserve">WITHOUT ESA </t>
  </si>
  <si>
    <t xml:space="preserve">WITH ESA </t>
  </si>
  <si>
    <t>Pay Back</t>
  </si>
  <si>
    <t>Colour legend</t>
  </si>
  <si>
    <r>
      <t xml:space="preserve">Blank cells will be calculated based on inputs of worksheet </t>
    </r>
    <r>
      <rPr>
        <b/>
        <sz val="10"/>
        <color theme="3"/>
        <rFont val="Arial"/>
        <family val="2"/>
      </rPr>
      <t>I-Input Data</t>
    </r>
  </si>
  <si>
    <t>Cells to be filled in</t>
  </si>
  <si>
    <t>Mon-YY</t>
  </si>
  <si>
    <t>Included in proposed activity?</t>
  </si>
  <si>
    <t>YES</t>
  </si>
  <si>
    <t>-</t>
  </si>
  <si>
    <t>The FinForecastTool OPT ARTES is licensed under the ESA Software Community License – Type 3 - v1.1</t>
  </si>
  <si>
    <t>Cumulative Volume Sales</t>
  </si>
  <si>
    <t>Stage II -- Review Resulting Profit &amp; Loss and Cash Flow</t>
  </si>
  <si>
    <r>
      <t>Go to worksheet</t>
    </r>
    <r>
      <rPr>
        <b/>
        <sz val="10"/>
        <color theme="3"/>
        <rFont val="Arial"/>
        <family val="2"/>
      </rPr>
      <t xml:space="preserve"> II-Profit&amp;Loss + Cash Flow</t>
    </r>
    <r>
      <rPr>
        <sz val="10"/>
        <color theme="3"/>
        <rFont val="Arial"/>
        <family val="2"/>
      </rPr>
      <t xml:space="preserve"> to review the forecast.</t>
    </r>
  </si>
  <si>
    <t>II.</t>
  </si>
  <si>
    <t>Profit &amp; Loss and Cash Flow Statement Calculation</t>
  </si>
  <si>
    <t>Guidelines - Using the Workbook to Produce a Financial Forecast</t>
  </si>
  <si>
    <t>This workbook consists of two stages to develop a financial forecast for a new product/system/service.</t>
  </si>
  <si>
    <t>Annual increase (%)</t>
  </si>
  <si>
    <t>Churn Rate (%)</t>
  </si>
  <si>
    <t>Cost of Sales (COGS)</t>
  </si>
  <si>
    <t>Financial Indicators without ESA Support</t>
  </si>
  <si>
    <t>Corporate Tax Rate</t>
  </si>
  <si>
    <t>Total Expenses (without ESA)</t>
  </si>
  <si>
    <t>Total Cost kEUR</t>
  </si>
  <si>
    <t>Unlike most standard financial modelling tools, this workbook does not allow you to enter financial information</t>
  </si>
  <si>
    <t>each year, unit prices, service fees and installation charges and it then calculates the resulting financial values.</t>
  </si>
  <si>
    <t>directly. Rather, it requires you to enter the underlying operational parameters like number of customers secured</t>
  </si>
  <si>
    <t>Number of units sold per year</t>
  </si>
  <si>
    <t>EBITDA (without ESA)</t>
  </si>
  <si>
    <t>EBITDA (with ESA)</t>
  </si>
  <si>
    <t>EBIT (with ESA)</t>
  </si>
  <si>
    <t>EBIT (without ESA)</t>
  </si>
  <si>
    <t>EAT (with ESA)</t>
  </si>
  <si>
    <t>EAT (without ESA)</t>
  </si>
  <si>
    <t>Net Profit (EAT)</t>
  </si>
  <si>
    <t>Operating Profit (EBIT)</t>
  </si>
  <si>
    <t>R&amp;D</t>
  </si>
  <si>
    <t>Discounted Cash Flow (DCF)</t>
  </si>
  <si>
    <t>Cumulative Cash Flow (CCF)</t>
  </si>
  <si>
    <t>Free Cash Flow (FCF)</t>
  </si>
  <si>
    <t>FCF (with ESA)</t>
  </si>
  <si>
    <t>FCF (without ESA)</t>
  </si>
  <si>
    <t>CCF (with ESA)</t>
  </si>
  <si>
    <t>CCF (without ESA)</t>
  </si>
  <si>
    <t>DCF (with ESA)</t>
  </si>
  <si>
    <t>DCF (without ESA)</t>
  </si>
  <si>
    <t>R&amp;D cost without ESA</t>
  </si>
  <si>
    <t>R&amp;D cost with ESA</t>
  </si>
  <si>
    <t>ESA Financial Support</t>
  </si>
  <si>
    <t>Sales Revenue</t>
  </si>
  <si>
    <t>Installation Revenue</t>
  </si>
  <si>
    <t>Service Fee Revenue</t>
  </si>
  <si>
    <t>Revenue streams</t>
  </si>
  <si>
    <t>Total Revenue</t>
  </si>
  <si>
    <t>CASH FLOW</t>
  </si>
  <si>
    <t>Financial Indicators with ESA Support</t>
  </si>
  <si>
    <t>Depreciation/Amortization</t>
  </si>
  <si>
    <t>YEAR</t>
  </si>
  <si>
    <t>Unit price</t>
  </si>
  <si>
    <t>Installation charge per unit</t>
  </si>
  <si>
    <t>Service fee per unit per year</t>
  </si>
  <si>
    <t xml:space="preserve">Cost of Capital (WACC)  </t>
  </si>
  <si>
    <t xml:space="preserve">Corporate Tax Rate  </t>
  </si>
  <si>
    <t>Lifetime Investment (years)</t>
  </si>
  <si>
    <t>General Expenses</t>
  </si>
  <si>
    <t>Administration Expenses</t>
  </si>
  <si>
    <t>Selling Expenses</t>
  </si>
  <si>
    <t>for a new product/service/system.</t>
  </si>
  <si>
    <t>Commercial Phase</t>
  </si>
  <si>
    <t>Active development flag</t>
  </si>
  <si>
    <t>Active commercial flag</t>
  </si>
  <si>
    <t>Version 2.3</t>
  </si>
  <si>
    <t>Development Phase(s) year</t>
  </si>
  <si>
    <t>Commercial Phase year</t>
  </si>
  <si>
    <t>Included?</t>
  </si>
  <si>
    <t>CS1</t>
  </si>
  <si>
    <t>CS2</t>
  </si>
  <si>
    <t>CS3</t>
  </si>
  <si>
    <t>Start year</t>
  </si>
  <si>
    <t>End year</t>
  </si>
  <si>
    <t>Duration
in years</t>
  </si>
  <si>
    <t>Duration in days</t>
  </si>
  <si>
    <t>Day in start year</t>
  </si>
  <si>
    <t>Day in end year</t>
  </si>
  <si>
    <t>Funded by ESA?</t>
  </si>
  <si>
    <t>Consistency check</t>
  </si>
  <si>
    <t xml:space="preserve"> Table A. Revenue, Cost &amp; Depreciation projection</t>
  </si>
  <si>
    <t xml:space="preserve"> Table B. Development phases timing projection</t>
  </si>
  <si>
    <t xml:space="preserve"> Table C. Development phases cost projection</t>
  </si>
  <si>
    <t xml:space="preserve"> Table D. Estimated Revenue projection</t>
  </si>
  <si>
    <t xml:space="preserve"> Table E. Estimated Cost projection</t>
  </si>
  <si>
    <t xml:space="preserve"> Table F. Depreciation projection</t>
  </si>
  <si>
    <t>Table 1. Planning and Costing Summary</t>
  </si>
  <si>
    <t>Table 2. Pricing and Cost of Sales</t>
  </si>
  <si>
    <t>Table 3. Served Obtainable Market</t>
  </si>
  <si>
    <t>Table 4. Operational Expenditures</t>
  </si>
  <si>
    <t>Table 5. Capital Expenditures</t>
  </si>
  <si>
    <t>Table 6. Financial Indicators</t>
  </si>
  <si>
    <t xml:space="preserve">Cost of Sales  per unit </t>
  </si>
  <si>
    <t>Cost of Sales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</si>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</sst>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0.0"/>
    <numFmt numFmtId="167" formatCode="0_ ;[Red]\-0\ "/>
    <numFmt numFmtId="168" formatCode="_-&quot;$&quot;* #,##0.00_-;\-&quot;$&quot;* #,##0.00_-;_-&quot;$&quot;* &quot;-&quot;??_-;_-@_-"/>
    <numFmt numFmtId="169" formatCode="_-&quot;€&quot;\ * #,##0.00_-;\-&quot;€&quot;\ * #,##0.00_-;_-&quot;€&quot;\ * &quot;-&quot;??_-;_-@_-"/>
    <numFmt numFmtId="170" formatCode="&quot;€&quot;#,##0.00"/>
    <numFmt numFmtId="171" formatCode="0.0%"/>
    <numFmt numFmtId="172" formatCode="_-* #,##0_-;[Red]\-* #,##0_-;_-* &quot;-&quot;??_-;_-@_-"/>
    <numFmt numFmtId="173" formatCode="_-* #,##0_-;[Red]\-#,##0_-;_-* &quot;-&quot;??_-;_-@_-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3"/>
      <name val="Arial"/>
      <family val="2"/>
    </font>
    <font>
      <sz val="11"/>
      <color indexed="8"/>
      <name val="Calibri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22"/>
      <color theme="3"/>
      <name val="Arial"/>
      <family val="2"/>
    </font>
    <font>
      <i/>
      <sz val="10"/>
      <color theme="3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b/>
      <sz val="14"/>
      <color theme="3"/>
      <name val="Arial"/>
      <family val="2"/>
    </font>
    <font>
      <u/>
      <sz val="10"/>
      <color theme="3"/>
      <name val="Arial"/>
      <family val="2"/>
    </font>
    <font>
      <b/>
      <sz val="10"/>
      <color rgb="FF002060"/>
      <name val="Arial"/>
      <family val="2"/>
    </font>
    <font>
      <b/>
      <sz val="10"/>
      <color rgb="FF1F497D"/>
      <name val="Arial"/>
      <family val="2"/>
    </font>
    <font>
      <sz val="14"/>
      <color theme="3"/>
      <name val="Arial"/>
      <family val="2"/>
    </font>
    <font>
      <sz val="14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i/>
      <sz val="10"/>
      <color rgb="FF002060"/>
      <name val="Arial"/>
      <family val="2"/>
    </font>
    <font>
      <sz val="10"/>
      <color rgb="FF002060"/>
      <name val="Arial"/>
      <family val="2"/>
    </font>
    <font>
      <sz val="9"/>
      <color rgb="FF002060"/>
      <name val="Arial"/>
      <family val="2"/>
    </font>
    <font>
      <sz val="10"/>
      <color theme="3"/>
      <name val="Calibri"/>
      <family val="2"/>
      <scheme val="minor"/>
    </font>
    <font>
      <sz val="9"/>
      <name val="Arial"/>
      <family val="2"/>
    </font>
    <font>
      <sz val="9"/>
      <color theme="5"/>
      <name val="Arial"/>
      <family val="2"/>
    </font>
    <font>
      <sz val="9"/>
      <color theme="3"/>
      <name val="Arial"/>
      <family val="2"/>
    </font>
    <font>
      <b/>
      <sz val="10"/>
      <color theme="5"/>
      <name val="Arial"/>
      <family val="2"/>
    </font>
    <font>
      <b/>
      <sz val="11"/>
      <name val="Calibri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  <font>
      <sz val="10"/>
      <color theme="0" tint="-0.34998626667073579"/>
      <name val="Arial"/>
      <family val="2"/>
    </font>
    <font>
      <sz val="11"/>
      <color rgb="FF002060"/>
      <name val="Calibri"/>
      <family val="2"/>
      <scheme val="minor"/>
    </font>
    <font>
      <b/>
      <sz val="11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sz val="10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1"/>
      <color theme="1" tint="0.34998626667073579"/>
      <name val="Calibri"/>
      <family val="2"/>
    </font>
    <font>
      <sz val="9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b/>
      <sz val="10"/>
      <color theme="1" tint="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9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theme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9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610">
    <xf numFmtId="0" fontId="0" fillId="0" borderId="0" xfId="0"/>
    <xf numFmtId="164" fontId="0" fillId="0" borderId="0" xfId="1" applyNumberFormat="1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6" fillId="0" borderId="0" xfId="0" applyFont="1" applyFill="1"/>
    <xf numFmtId="0" fontId="9" fillId="0" borderId="0" xfId="0" applyFont="1"/>
    <xf numFmtId="0" fontId="6" fillId="0" borderId="0" xfId="0" applyFont="1" applyFill="1" applyBorder="1"/>
    <xf numFmtId="0" fontId="13" fillId="0" borderId="0" xfId="0" applyFont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/>
    <xf numFmtId="0" fontId="0" fillId="0" borderId="0" xfId="0" applyFont="1" applyFill="1"/>
    <xf numFmtId="0" fontId="6" fillId="0" borderId="0" xfId="0" applyFont="1" applyFill="1" applyBorder="1" applyAlignment="1">
      <alignment horizontal="center"/>
    </xf>
    <xf numFmtId="0" fontId="21" fillId="0" borderId="0" xfId="0" applyFont="1"/>
    <xf numFmtId="0" fontId="23" fillId="0" borderId="0" xfId="0" applyFont="1"/>
    <xf numFmtId="0" fontId="0" fillId="0" borderId="0" xfId="0" applyFont="1" applyBorder="1" applyAlignment="1">
      <alignment vertical="center" textRotation="90"/>
    </xf>
    <xf numFmtId="0" fontId="31" fillId="0" borderId="0" xfId="0" applyFont="1" applyFill="1" applyBorder="1" applyAlignment="1">
      <alignment horizontal="center" vertical="center" textRotation="90" wrapText="1"/>
    </xf>
    <xf numFmtId="0" fontId="0" fillId="0" borderId="0" xfId="0" applyFill="1"/>
    <xf numFmtId="0" fontId="13" fillId="0" borderId="0" xfId="0" applyFont="1" applyFill="1" applyBorder="1"/>
    <xf numFmtId="0" fontId="34" fillId="0" borderId="0" xfId="0" applyFont="1"/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2" fillId="0" borderId="0" xfId="0" applyFont="1"/>
    <xf numFmtId="167" fontId="6" fillId="5" borderId="13" xfId="1" applyNumberFormat="1" applyFont="1" applyFill="1" applyBorder="1" applyAlignment="1">
      <alignment horizontal="center"/>
    </xf>
    <xf numFmtId="164" fontId="0" fillId="0" borderId="0" xfId="1" applyNumberFormat="1" applyFont="1" applyFill="1"/>
    <xf numFmtId="1" fontId="0" fillId="0" borderId="0" xfId="0" applyNumberFormat="1" applyFont="1"/>
    <xf numFmtId="165" fontId="6" fillId="3" borderId="15" xfId="1" applyNumberFormat="1" applyFont="1" applyFill="1" applyBorder="1" applyProtection="1">
      <protection locked="0"/>
    </xf>
    <xf numFmtId="0" fontId="6" fillId="3" borderId="0" xfId="0" applyFont="1" applyFill="1" applyBorder="1"/>
    <xf numFmtId="0" fontId="34" fillId="0" borderId="0" xfId="0" applyFont="1" applyFill="1"/>
    <xf numFmtId="0" fontId="2" fillId="2" borderId="1" xfId="0" applyFont="1" applyFill="1" applyBorder="1"/>
    <xf numFmtId="0" fontId="3" fillId="3" borderId="33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30" fillId="3" borderId="3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17" fontId="6" fillId="5" borderId="48" xfId="0" applyNumberFormat="1" applyFont="1" applyFill="1" applyBorder="1" applyAlignment="1">
      <alignment horizontal="center"/>
    </xf>
    <xf numFmtId="17" fontId="6" fillId="5" borderId="31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 vertical="center" wrapText="1"/>
    </xf>
    <xf numFmtId="0" fontId="38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9" fontId="0" fillId="2" borderId="1" xfId="2" applyFont="1" applyFill="1" applyBorder="1" applyAlignment="1" applyProtection="1">
      <alignment horizontal="center" vertical="center"/>
      <protection locked="0"/>
    </xf>
    <xf numFmtId="17" fontId="0" fillId="2" borderId="1" xfId="0" applyNumberFormat="1" applyFill="1" applyBorder="1" applyAlignment="1" applyProtection="1">
      <alignment horizontal="center" vertical="center"/>
      <protection locked="0"/>
    </xf>
    <xf numFmtId="17" fontId="0" fillId="2" borderId="37" xfId="0" applyNumberFormat="1" applyFill="1" applyBorder="1" applyAlignment="1" applyProtection="1">
      <alignment horizontal="center" vertical="center"/>
      <protection locked="0"/>
    </xf>
    <xf numFmtId="49" fontId="30" fillId="2" borderId="43" xfId="0" applyNumberFormat="1" applyFont="1" applyFill="1" applyBorder="1" applyAlignment="1" applyProtection="1">
      <alignment horizontal="center"/>
      <protection locked="0"/>
    </xf>
    <xf numFmtId="1" fontId="6" fillId="2" borderId="5" xfId="0" applyNumberFormat="1" applyFont="1" applyFill="1" applyBorder="1" applyAlignment="1" applyProtection="1">
      <alignment horizontal="center"/>
      <protection locked="0"/>
    </xf>
    <xf numFmtId="1" fontId="6" fillId="2" borderId="15" xfId="0" applyNumberFormat="1" applyFont="1" applyFill="1" applyBorder="1" applyAlignment="1" applyProtection="1">
      <alignment horizontal="center"/>
      <protection locked="0"/>
    </xf>
    <xf numFmtId="1" fontId="6" fillId="2" borderId="0" xfId="0" applyNumberFormat="1" applyFont="1" applyFill="1" applyBorder="1" applyAlignment="1" applyProtection="1">
      <alignment horizontal="center"/>
      <protection locked="0"/>
    </xf>
    <xf numFmtId="1" fontId="6" fillId="2" borderId="62" xfId="0" applyNumberFormat="1" applyFont="1" applyFill="1" applyBorder="1" applyAlignment="1" applyProtection="1">
      <alignment horizontal="center"/>
      <protection locked="0"/>
    </xf>
    <xf numFmtId="0" fontId="6" fillId="3" borderId="44" xfId="0" applyFont="1" applyFill="1" applyBorder="1"/>
    <xf numFmtId="1" fontId="37" fillId="0" borderId="0" xfId="0" applyNumberFormat="1" applyFont="1" applyAlignment="1">
      <alignment horizontal="center"/>
    </xf>
    <xf numFmtId="1" fontId="6" fillId="2" borderId="15" xfId="0" applyNumberFormat="1" applyFont="1" applyFill="1" applyBorder="1" applyProtection="1">
      <protection locked="0"/>
    </xf>
    <xf numFmtId="1" fontId="6" fillId="2" borderId="58" xfId="0" applyNumberFormat="1" applyFont="1" applyFill="1" applyBorder="1" applyProtection="1">
      <protection locked="0"/>
    </xf>
    <xf numFmtId="1" fontId="6" fillId="2" borderId="62" xfId="0" applyNumberFormat="1" applyFont="1" applyFill="1" applyBorder="1" applyProtection="1">
      <protection locked="0"/>
    </xf>
    <xf numFmtId="1" fontId="6" fillId="2" borderId="65" xfId="0" applyNumberFormat="1" applyFont="1" applyFill="1" applyBorder="1" applyProtection="1">
      <protection locked="0"/>
    </xf>
    <xf numFmtId="1" fontId="6" fillId="2" borderId="13" xfId="0" applyNumberFormat="1" applyFont="1" applyFill="1" applyBorder="1" applyAlignment="1" applyProtection="1">
      <alignment horizontal="right" vertical="center"/>
      <protection locked="0"/>
    </xf>
    <xf numFmtId="1" fontId="6" fillId="2" borderId="61" xfId="0" applyNumberFormat="1" applyFont="1" applyFill="1" applyBorder="1" applyAlignment="1" applyProtection="1">
      <alignment horizontal="right" vertical="center"/>
      <protection locked="0"/>
    </xf>
    <xf numFmtId="0" fontId="6" fillId="2" borderId="15" xfId="0" applyFont="1" applyFill="1" applyBorder="1" applyProtection="1">
      <protection locked="0"/>
    </xf>
    <xf numFmtId="0" fontId="6" fillId="2" borderId="62" xfId="0" applyFont="1" applyFill="1" applyBorder="1" applyProtection="1">
      <protection locked="0"/>
    </xf>
    <xf numFmtId="0" fontId="23" fillId="3" borderId="0" xfId="0" applyFont="1" applyFill="1" applyAlignment="1">
      <alignment horizontal="center"/>
    </xf>
    <xf numFmtId="0" fontId="6" fillId="3" borderId="0" xfId="0" applyFont="1" applyFill="1"/>
    <xf numFmtId="0" fontId="22" fillId="3" borderId="0" xfId="0" applyFont="1" applyFill="1" applyBorder="1"/>
    <xf numFmtId="0" fontId="0" fillId="3" borderId="0" xfId="0" applyFill="1"/>
    <xf numFmtId="0" fontId="2" fillId="3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textRotation="90"/>
    </xf>
    <xf numFmtId="0" fontId="2" fillId="3" borderId="0" xfId="0" applyFont="1" applyFill="1" applyBorder="1" applyAlignment="1">
      <alignment vertical="center" textRotation="90"/>
    </xf>
    <xf numFmtId="0" fontId="22" fillId="3" borderId="16" xfId="0" applyFont="1" applyFill="1" applyBorder="1" applyAlignment="1">
      <alignment horizontal="center"/>
    </xf>
    <xf numFmtId="0" fontId="33" fillId="3" borderId="0" xfId="0" applyFont="1" applyFill="1"/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2" fillId="3" borderId="0" xfId="0" applyFont="1" applyFill="1"/>
    <xf numFmtId="0" fontId="13" fillId="3" borderId="0" xfId="0" applyFont="1" applyFill="1"/>
    <xf numFmtId="0" fontId="2" fillId="3" borderId="0" xfId="0" applyFont="1" applyFill="1" applyAlignment="1">
      <alignment horizontal="center"/>
    </xf>
    <xf numFmtId="0" fontId="14" fillId="3" borderId="0" xfId="0" applyFont="1" applyFill="1"/>
    <xf numFmtId="0" fontId="11" fillId="3" borderId="19" xfId="0" applyFont="1" applyFill="1" applyBorder="1"/>
    <xf numFmtId="0" fontId="6" fillId="3" borderId="25" xfId="0" applyFont="1" applyFill="1" applyBorder="1"/>
    <xf numFmtId="0" fontId="6" fillId="3" borderId="26" xfId="0" applyFont="1" applyFill="1" applyBorder="1"/>
    <xf numFmtId="0" fontId="6" fillId="3" borderId="18" xfId="0" applyFont="1" applyFill="1" applyBorder="1"/>
    <xf numFmtId="0" fontId="6" fillId="3" borderId="27" xfId="0" applyFont="1" applyFill="1" applyBorder="1"/>
    <xf numFmtId="0" fontId="6" fillId="3" borderId="17" xfId="0" applyFont="1" applyFill="1" applyBorder="1"/>
    <xf numFmtId="0" fontId="6" fillId="3" borderId="28" xfId="0" applyFont="1" applyFill="1" applyBorder="1"/>
    <xf numFmtId="0" fontId="6" fillId="3" borderId="29" xfId="0" applyFont="1" applyFill="1" applyBorder="1"/>
    <xf numFmtId="0" fontId="22" fillId="3" borderId="16" xfId="0" applyFont="1" applyFill="1" applyBorder="1"/>
    <xf numFmtId="0" fontId="24" fillId="3" borderId="16" xfId="0" applyFont="1" applyFill="1" applyBorder="1"/>
    <xf numFmtId="0" fontId="23" fillId="3" borderId="16" xfId="0" applyFont="1" applyFill="1" applyBorder="1"/>
    <xf numFmtId="0" fontId="23" fillId="3" borderId="0" xfId="0" applyFont="1" applyFill="1"/>
    <xf numFmtId="0" fontId="25" fillId="3" borderId="0" xfId="0" applyFont="1" applyFill="1" applyBorder="1"/>
    <xf numFmtId="0" fontId="15" fillId="3" borderId="0" xfId="0" applyFont="1" applyFill="1" applyBorder="1"/>
    <xf numFmtId="0" fontId="15" fillId="3" borderId="0" xfId="0" applyFont="1" applyFill="1" applyAlignment="1">
      <alignment horizontal="center"/>
    </xf>
    <xf numFmtId="0" fontId="25" fillId="3" borderId="0" xfId="0" applyFont="1" applyFill="1"/>
    <xf numFmtId="0" fontId="6" fillId="3" borderId="1" xfId="0" applyFont="1" applyFill="1" applyBorder="1"/>
    <xf numFmtId="0" fontId="17" fillId="3" borderId="0" xfId="0" applyFont="1" applyFill="1" applyBorder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9" fillId="3" borderId="0" xfId="0" applyFont="1" applyFill="1"/>
    <xf numFmtId="0" fontId="11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35" fillId="3" borderId="0" xfId="93" applyFill="1"/>
    <xf numFmtId="0" fontId="6" fillId="3" borderId="0" xfId="0" applyFont="1" applyFill="1" applyBorder="1" applyAlignment="1">
      <alignment horizontal="center"/>
    </xf>
    <xf numFmtId="0" fontId="35" fillId="3" borderId="0" xfId="93" applyFill="1" applyBorder="1"/>
    <xf numFmtId="165" fontId="29" fillId="3" borderId="0" xfId="1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 vertical="center" textRotation="90" wrapText="1"/>
    </xf>
    <xf numFmtId="17" fontId="43" fillId="2" borderId="40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65" fontId="27" fillId="3" borderId="1" xfId="1" applyNumberFormat="1" applyFont="1" applyFill="1" applyBorder="1" applyAlignment="1">
      <alignment horizontal="right"/>
    </xf>
    <xf numFmtId="17" fontId="43" fillId="2" borderId="39" xfId="0" applyNumberFormat="1" applyFont="1" applyFill="1" applyBorder="1" applyAlignment="1" applyProtection="1">
      <alignment horizontal="center" vertical="center"/>
      <protection locked="0"/>
    </xf>
    <xf numFmtId="167" fontId="6" fillId="5" borderId="61" xfId="1" applyNumberFormat="1" applyFont="1" applyFill="1" applyBorder="1" applyAlignment="1">
      <alignment horizontal="center"/>
    </xf>
    <xf numFmtId="1" fontId="6" fillId="2" borderId="58" xfId="0" applyNumberFormat="1" applyFont="1" applyFill="1" applyBorder="1" applyAlignment="1" applyProtection="1">
      <alignment horizontal="right" vertical="center"/>
      <protection locked="0"/>
    </xf>
    <xf numFmtId="1" fontId="6" fillId="2" borderId="65" xfId="0" applyNumberFormat="1" applyFont="1" applyFill="1" applyBorder="1" applyAlignment="1" applyProtection="1">
      <alignment horizontal="right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3" borderId="55" xfId="0" applyFont="1" applyFill="1" applyBorder="1"/>
    <xf numFmtId="0" fontId="6" fillId="3" borderId="66" xfId="0" applyFont="1" applyFill="1" applyBorder="1"/>
    <xf numFmtId="0" fontId="6" fillId="2" borderId="32" xfId="0" applyFont="1" applyFill="1" applyBorder="1" applyProtection="1">
      <protection locked="0"/>
    </xf>
    <xf numFmtId="0" fontId="6" fillId="2" borderId="34" xfId="0" applyFont="1" applyFill="1" applyBorder="1" applyProtection="1">
      <protection locked="0"/>
    </xf>
    <xf numFmtId="1" fontId="6" fillId="2" borderId="32" xfId="0" applyNumberFormat="1" applyFont="1" applyFill="1" applyBorder="1" applyProtection="1">
      <protection locked="0"/>
    </xf>
    <xf numFmtId="1" fontId="6" fillId="2" borderId="34" xfId="0" applyNumberFormat="1" applyFont="1" applyFill="1" applyBorder="1" applyProtection="1">
      <protection locked="0"/>
    </xf>
    <xf numFmtId="49" fontId="30" fillId="2" borderId="46" xfId="0" applyNumberFormat="1" applyFont="1" applyFill="1" applyBorder="1" applyAlignment="1" applyProtection="1">
      <alignment horizontal="center"/>
      <protection locked="0"/>
    </xf>
    <xf numFmtId="1" fontId="6" fillId="2" borderId="33" xfId="0" applyNumberFormat="1" applyFont="1" applyFill="1" applyBorder="1" applyAlignment="1" applyProtection="1">
      <alignment horizontal="center"/>
      <protection locked="0"/>
    </xf>
    <xf numFmtId="1" fontId="6" fillId="2" borderId="32" xfId="0" applyNumberFormat="1" applyFont="1" applyFill="1" applyBorder="1" applyAlignment="1" applyProtection="1">
      <alignment horizontal="center"/>
      <protection locked="0"/>
    </xf>
    <xf numFmtId="1" fontId="6" fillId="2" borderId="55" xfId="0" applyNumberFormat="1" applyFont="1" applyFill="1" applyBorder="1" applyAlignment="1" applyProtection="1">
      <alignment horizontal="center"/>
      <protection locked="0"/>
    </xf>
    <xf numFmtId="1" fontId="6" fillId="2" borderId="34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0" fillId="3" borderId="5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 applyProtection="1">
      <alignment horizont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9" fontId="0" fillId="2" borderId="31" xfId="2" applyFont="1" applyFill="1" applyBorder="1" applyAlignment="1" applyProtection="1">
      <alignment horizontal="center" vertical="center"/>
      <protection locked="0"/>
    </xf>
    <xf numFmtId="17" fontId="0" fillId="2" borderId="31" xfId="0" applyNumberFormat="1" applyFill="1" applyBorder="1" applyAlignment="1" applyProtection="1">
      <alignment horizontal="center" vertical="center"/>
      <protection locked="0"/>
    </xf>
    <xf numFmtId="17" fontId="0" fillId="2" borderId="67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wrapText="1"/>
    </xf>
    <xf numFmtId="0" fontId="6" fillId="5" borderId="49" xfId="0" applyFont="1" applyFill="1" applyBorder="1" applyAlignment="1"/>
    <xf numFmtId="0" fontId="6" fillId="5" borderId="60" xfId="0" applyFont="1" applyFill="1" applyBorder="1" applyAlignment="1"/>
    <xf numFmtId="0" fontId="6" fillId="5" borderId="48" xfId="0" applyFont="1" applyFill="1" applyBorder="1" applyAlignment="1"/>
    <xf numFmtId="0" fontId="6" fillId="5" borderId="50" xfId="0" applyFont="1" applyFill="1" applyBorder="1" applyAlignment="1"/>
    <xf numFmtId="167" fontId="6" fillId="5" borderId="39" xfId="1" applyNumberFormat="1" applyFont="1" applyFill="1" applyBorder="1" applyAlignment="1">
      <alignment horizontal="center"/>
    </xf>
    <xf numFmtId="167" fontId="6" fillId="5" borderId="40" xfId="1" applyNumberFormat="1" applyFont="1" applyFill="1" applyBorder="1" applyAlignment="1">
      <alignment horizontal="center"/>
    </xf>
    <xf numFmtId="49" fontId="30" fillId="3" borderId="64" xfId="0" applyNumberFormat="1" applyFont="1" applyFill="1" applyBorder="1" applyAlignment="1">
      <alignment horizontal="center" vertical="center"/>
    </xf>
    <xf numFmtId="10" fontId="6" fillId="2" borderId="2" xfId="2" applyNumberFormat="1" applyFont="1" applyFill="1" applyBorder="1" applyAlignment="1" applyProtection="1">
      <alignment horizontal="center"/>
      <protection locked="0"/>
    </xf>
    <xf numFmtId="10" fontId="6" fillId="2" borderId="61" xfId="2" applyNumberFormat="1" applyFont="1" applyFill="1" applyBorder="1" applyAlignment="1" applyProtection="1">
      <alignment horizontal="center"/>
      <protection locked="0"/>
    </xf>
    <xf numFmtId="49" fontId="30" fillId="3" borderId="38" xfId="0" applyNumberFormat="1" applyFont="1" applyFill="1" applyBorder="1" applyAlignment="1">
      <alignment horizontal="center"/>
    </xf>
    <xf numFmtId="0" fontId="0" fillId="3" borderId="54" xfId="0" applyFill="1" applyBorder="1"/>
    <xf numFmtId="0" fontId="0" fillId="3" borderId="63" xfId="0" applyFill="1" applyBorder="1"/>
    <xf numFmtId="0" fontId="0" fillId="3" borderId="40" xfId="0" applyFill="1" applyBorder="1"/>
    <xf numFmtId="0" fontId="0" fillId="0" borderId="0" xfId="0" applyBorder="1"/>
    <xf numFmtId="0" fontId="0" fillId="0" borderId="78" xfId="0" applyBorder="1"/>
    <xf numFmtId="0" fontId="0" fillId="3" borderId="0" xfId="0" applyFill="1" applyProtection="1"/>
    <xf numFmtId="0" fontId="2" fillId="3" borderId="0" xfId="0" applyFont="1" applyFill="1" applyProtection="1"/>
    <xf numFmtId="0" fontId="4" fillId="3" borderId="0" xfId="0" applyFont="1" applyFill="1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7" fontId="2" fillId="0" borderId="0" xfId="0" applyNumberFormat="1" applyFont="1" applyBorder="1" applyProtection="1">
      <protection locked="0"/>
    </xf>
    <xf numFmtId="0" fontId="0" fillId="0" borderId="78" xfId="0" applyBorder="1" applyProtection="1"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  <xf numFmtId="0" fontId="31" fillId="0" borderId="78" xfId="0" applyFont="1" applyBorder="1" applyAlignment="1" applyProtection="1">
      <alignment horizontal="center" vertical="center" textRotation="90" wrapText="1"/>
      <protection locked="0"/>
    </xf>
    <xf numFmtId="0" fontId="40" fillId="0" borderId="0" xfId="0" quotePrefix="1" applyFont="1" applyProtection="1"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167" fontId="11" fillId="3" borderId="11" xfId="1" applyNumberFormat="1" applyFont="1" applyFill="1" applyBorder="1" applyAlignment="1" applyProtection="1">
      <alignment horizontal="center"/>
      <protection locked="0"/>
    </xf>
    <xf numFmtId="167" fontId="11" fillId="3" borderId="79" xfId="1" applyNumberFormat="1" applyFont="1" applyFill="1" applyBorder="1" applyAlignment="1" applyProtection="1">
      <alignment horizontal="center"/>
      <protection locked="0"/>
    </xf>
    <xf numFmtId="167" fontId="6" fillId="3" borderId="13" xfId="1" applyNumberFormat="1" applyFont="1" applyFill="1" applyBorder="1" applyAlignment="1" applyProtection="1">
      <alignment horizontal="left"/>
      <protection locked="0"/>
    </xf>
    <xf numFmtId="167" fontId="6" fillId="4" borderId="10" xfId="1" applyNumberFormat="1" applyFont="1" applyFill="1" applyBorder="1" applyAlignment="1" applyProtection="1">
      <alignment horizontal="center"/>
      <protection locked="0"/>
    </xf>
    <xf numFmtId="167" fontId="6" fillId="4" borderId="11" xfId="1" applyNumberFormat="1" applyFont="1" applyFill="1" applyBorder="1" applyAlignment="1" applyProtection="1">
      <alignment horizontal="center"/>
      <protection locked="0"/>
    </xf>
    <xf numFmtId="167" fontId="6" fillId="4" borderId="79" xfId="1" applyNumberFormat="1" applyFont="1" applyFill="1" applyBorder="1" applyAlignment="1" applyProtection="1">
      <alignment horizontal="center"/>
      <protection locked="0"/>
    </xf>
    <xf numFmtId="167" fontId="6" fillId="4" borderId="12" xfId="1" applyNumberFormat="1" applyFont="1" applyFill="1" applyBorder="1" applyAlignment="1" applyProtection="1">
      <alignment horizontal="center"/>
      <protection locked="0"/>
    </xf>
    <xf numFmtId="167" fontId="6" fillId="3" borderId="15" xfId="1" applyNumberFormat="1" applyFont="1" applyFill="1" applyBorder="1" applyAlignment="1" applyProtection="1">
      <alignment horizontal="left"/>
      <protection locked="0"/>
    </xf>
    <xf numFmtId="167" fontId="6" fillId="3" borderId="10" xfId="1" applyNumberFormat="1" applyFont="1" applyFill="1" applyBorder="1" applyAlignment="1" applyProtection="1">
      <alignment horizontal="center"/>
      <protection locked="0"/>
    </xf>
    <xf numFmtId="167" fontId="6" fillId="3" borderId="11" xfId="1" applyNumberFormat="1" applyFont="1" applyFill="1" applyBorder="1" applyAlignment="1" applyProtection="1">
      <alignment horizontal="center"/>
      <protection locked="0"/>
    </xf>
    <xf numFmtId="167" fontId="6" fillId="3" borderId="79" xfId="1" applyNumberFormat="1" applyFont="1" applyFill="1" applyBorder="1" applyAlignment="1" applyProtection="1">
      <alignment horizontal="center"/>
      <protection locked="0"/>
    </xf>
    <xf numFmtId="167" fontId="6" fillId="5" borderId="11" xfId="1" applyNumberFormat="1" applyFont="1" applyFill="1" applyBorder="1" applyAlignment="1" applyProtection="1">
      <alignment horizontal="center"/>
      <protection locked="0"/>
    </xf>
    <xf numFmtId="167" fontId="6" fillId="5" borderId="12" xfId="1" applyNumberFormat="1" applyFont="1" applyFill="1" applyBorder="1" applyAlignment="1" applyProtection="1">
      <alignment horizontal="center"/>
      <protection locked="0"/>
    </xf>
    <xf numFmtId="164" fontId="41" fillId="3" borderId="0" xfId="1" applyNumberFormat="1" applyFont="1" applyFill="1" applyBorder="1" applyProtection="1">
      <protection locked="0"/>
    </xf>
    <xf numFmtId="164" fontId="41" fillId="3" borderId="6" xfId="1" applyNumberFormat="1" applyFont="1" applyFill="1" applyBorder="1" applyProtection="1">
      <protection locked="0"/>
    </xf>
    <xf numFmtId="165" fontId="6" fillId="3" borderId="1" xfId="1" applyNumberFormat="1" applyFont="1" applyFill="1" applyBorder="1" applyProtection="1">
      <protection locked="0"/>
    </xf>
    <xf numFmtId="164" fontId="41" fillId="3" borderId="11" xfId="1" applyNumberFormat="1" applyFont="1" applyFill="1" applyBorder="1" applyProtection="1">
      <protection locked="0"/>
    </xf>
    <xf numFmtId="164" fontId="41" fillId="3" borderId="12" xfId="1" applyNumberFormat="1" applyFont="1" applyFill="1" applyBorder="1" applyProtection="1">
      <protection locked="0"/>
    </xf>
    <xf numFmtId="172" fontId="41" fillId="3" borderId="6" xfId="1" applyNumberFormat="1" applyFont="1" applyFill="1" applyBorder="1" applyProtection="1">
      <protection locked="0"/>
    </xf>
    <xf numFmtId="0" fontId="6" fillId="3" borderId="15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horizontal="left"/>
      <protection locked="0"/>
    </xf>
    <xf numFmtId="173" fontId="41" fillId="3" borderId="2" xfId="1" applyNumberFormat="1" applyFont="1" applyFill="1" applyBorder="1" applyProtection="1">
      <protection locked="0"/>
    </xf>
    <xf numFmtId="173" fontId="41" fillId="3" borderId="3" xfId="1" applyNumberFormat="1" applyFont="1" applyFill="1" applyBorder="1" applyProtection="1">
      <protection locked="0"/>
    </xf>
    <xf numFmtId="173" fontId="41" fillId="3" borderId="80" xfId="1" applyNumberFormat="1" applyFont="1" applyFill="1" applyBorder="1" applyProtection="1">
      <protection locked="0"/>
    </xf>
    <xf numFmtId="173" fontId="41" fillId="3" borderId="4" xfId="1" applyNumberFormat="1" applyFont="1" applyFill="1" applyBorder="1" applyProtection="1">
      <protection locked="0"/>
    </xf>
    <xf numFmtId="0" fontId="6" fillId="3" borderId="15" xfId="0" applyFont="1" applyFill="1" applyBorder="1" applyAlignment="1" applyProtection="1">
      <alignment horizontal="left"/>
      <protection locked="0"/>
    </xf>
    <xf numFmtId="173" fontId="41" fillId="3" borderId="7" xfId="1" applyNumberFormat="1" applyFont="1" applyFill="1" applyBorder="1" applyProtection="1">
      <protection locked="0"/>
    </xf>
    <xf numFmtId="173" fontId="41" fillId="3" borderId="8" xfId="1" applyNumberFormat="1" applyFont="1" applyFill="1" applyBorder="1" applyProtection="1">
      <protection locked="0"/>
    </xf>
    <xf numFmtId="173" fontId="41" fillId="3" borderId="81" xfId="1" applyNumberFormat="1" applyFont="1" applyFill="1" applyBorder="1" applyProtection="1">
      <protection locked="0"/>
    </xf>
    <xf numFmtId="173" fontId="41" fillId="3" borderId="9" xfId="1" applyNumberFormat="1" applyFont="1" applyFill="1" applyBorder="1" applyProtection="1">
      <protection locked="0"/>
    </xf>
    <xf numFmtId="165" fontId="41" fillId="3" borderId="11" xfId="1" applyNumberFormat="1" applyFont="1" applyFill="1" applyBorder="1" applyProtection="1">
      <protection locked="0"/>
    </xf>
    <xf numFmtId="165" fontId="41" fillId="3" borderId="79" xfId="1" applyNumberFormat="1" applyFont="1" applyFill="1" applyBorder="1" applyProtection="1">
      <protection locked="0"/>
    </xf>
    <xf numFmtId="173" fontId="41" fillId="3" borderId="11" xfId="1" applyNumberFormat="1" applyFont="1" applyFill="1" applyBorder="1" applyProtection="1">
      <protection locked="0"/>
    </xf>
    <xf numFmtId="173" fontId="41" fillId="3" borderId="12" xfId="1" applyNumberFormat="1" applyFont="1" applyFill="1" applyBorder="1" applyProtection="1">
      <protection locked="0"/>
    </xf>
    <xf numFmtId="165" fontId="41" fillId="3" borderId="10" xfId="1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" fontId="0" fillId="5" borderId="11" xfId="0" applyNumberFormat="1" applyFill="1" applyBorder="1" applyAlignment="1" applyProtection="1">
      <alignment horizontal="center"/>
      <protection locked="0"/>
    </xf>
    <xf numFmtId="167" fontId="6" fillId="3" borderId="1" xfId="1" applyNumberFormat="1" applyFont="1" applyFill="1" applyBorder="1" applyAlignment="1" applyProtection="1">
      <alignment horizontal="center"/>
      <protection locked="0"/>
    </xf>
    <xf numFmtId="167" fontId="6" fillId="3" borderId="82" xfId="1" applyNumberFormat="1" applyFont="1" applyFill="1" applyBorder="1" applyAlignment="1" applyProtection="1">
      <alignment horizontal="center"/>
      <protection locked="0"/>
    </xf>
    <xf numFmtId="167" fontId="6" fillId="3" borderId="12" xfId="1" applyNumberFormat="1" applyFont="1" applyFill="1" applyBorder="1" applyAlignment="1" applyProtection="1">
      <alignment horizontal="center"/>
      <protection locked="0"/>
    </xf>
    <xf numFmtId="0" fontId="30" fillId="3" borderId="9" xfId="0" applyFont="1" applyFill="1" applyBorder="1" applyAlignment="1" applyProtection="1">
      <alignment horizontal="center" vertical="center" wrapText="1"/>
      <protection locked="0"/>
    </xf>
    <xf numFmtId="0" fontId="30" fillId="3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Protection="1">
      <protection locked="0"/>
    </xf>
    <xf numFmtId="17" fontId="2" fillId="5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7" fontId="6" fillId="5" borderId="4" xfId="1" applyNumberFormat="1" applyFont="1" applyFill="1" applyBorder="1" applyAlignment="1" applyProtection="1">
      <alignment horizontal="center"/>
      <protection locked="0"/>
    </xf>
    <xf numFmtId="167" fontId="6" fillId="5" borderId="13" xfId="1" applyNumberFormat="1" applyFont="1" applyFill="1" applyBorder="1" applyAlignment="1" applyProtection="1">
      <alignment horizontal="center"/>
      <protection locked="0"/>
    </xf>
    <xf numFmtId="49" fontId="6" fillId="0" borderId="83" xfId="0" applyNumberFormat="1" applyFont="1" applyBorder="1" applyAlignment="1" applyProtection="1">
      <alignment horizontal="center"/>
      <protection locked="0"/>
    </xf>
    <xf numFmtId="164" fontId="6" fillId="0" borderId="3" xfId="1" applyNumberFormat="1" applyFont="1" applyBorder="1" applyProtection="1">
      <protection locked="0"/>
    </xf>
    <xf numFmtId="164" fontId="6" fillId="0" borderId="4" xfId="1" applyNumberFormat="1" applyFont="1" applyBorder="1" applyProtection="1">
      <protection locked="0"/>
    </xf>
    <xf numFmtId="49" fontId="6" fillId="0" borderId="84" xfId="0" applyNumberFormat="1" applyFont="1" applyBorder="1" applyAlignment="1" applyProtection="1">
      <alignment horizontal="center"/>
      <protection locked="0"/>
    </xf>
    <xf numFmtId="164" fontId="6" fillId="0" borderId="0" xfId="1" applyNumberFormat="1" applyFont="1" applyBorder="1" applyProtection="1">
      <protection locked="0"/>
    </xf>
    <xf numFmtId="164" fontId="6" fillId="0" borderId="6" xfId="1" applyNumberFormat="1" applyFont="1" applyBorder="1" applyProtection="1">
      <protection locked="0"/>
    </xf>
    <xf numFmtId="164" fontId="6" fillId="0" borderId="8" xfId="1" applyNumberFormat="1" applyFont="1" applyBorder="1" applyProtection="1">
      <protection locked="0"/>
    </xf>
    <xf numFmtId="164" fontId="6" fillId="0" borderId="9" xfId="1" applyNumberFormat="1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49" fontId="6" fillId="0" borderId="85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11" fillId="0" borderId="82" xfId="0" applyFont="1" applyBorder="1" applyAlignment="1" applyProtection="1">
      <alignment horizontal="center"/>
      <protection locked="0"/>
    </xf>
    <xf numFmtId="164" fontId="11" fillId="0" borderId="11" xfId="1" applyNumberFormat="1" applyFont="1" applyBorder="1" applyProtection="1">
      <protection locked="0"/>
    </xf>
    <xf numFmtId="164" fontId="11" fillId="0" borderId="12" xfId="1" applyNumberFormat="1" applyFont="1" applyBorder="1" applyProtection="1">
      <protection locked="0"/>
    </xf>
    <xf numFmtId="0" fontId="32" fillId="3" borderId="13" xfId="0" applyFont="1" applyFill="1" applyBorder="1" applyAlignment="1" applyProtection="1">
      <alignment horizontal="center" vertical="center" wrapText="1"/>
      <protection locked="0"/>
    </xf>
    <xf numFmtId="164" fontId="6" fillId="0" borderId="2" xfId="1" applyNumberFormat="1" applyFont="1" applyBorder="1" applyProtection="1">
      <protection locked="0"/>
    </xf>
    <xf numFmtId="164" fontId="6" fillId="0" borderId="80" xfId="1" applyNumberFormat="1" applyFont="1" applyBorder="1" applyProtection="1">
      <protection locked="0"/>
    </xf>
    <xf numFmtId="0" fontId="32" fillId="3" borderId="15" xfId="0" applyFont="1" applyFill="1" applyBorder="1" applyAlignment="1" applyProtection="1">
      <alignment horizontal="center" vertical="center" wrapText="1"/>
      <protection locked="0"/>
    </xf>
    <xf numFmtId="164" fontId="6" fillId="0" borderId="5" xfId="1" applyNumberFormat="1" applyFont="1" applyBorder="1" applyProtection="1">
      <protection locked="0"/>
    </xf>
    <xf numFmtId="164" fontId="6" fillId="0" borderId="78" xfId="1" applyNumberFormat="1" applyFont="1" applyBorder="1" applyProtection="1">
      <protection locked="0"/>
    </xf>
    <xf numFmtId="0" fontId="32" fillId="3" borderId="14" xfId="0" applyFont="1" applyFill="1" applyBorder="1" applyAlignment="1" applyProtection="1">
      <alignment horizontal="center" vertical="center" wrapText="1"/>
      <protection locked="0"/>
    </xf>
    <xf numFmtId="164" fontId="6" fillId="0" borderId="7" xfId="1" applyNumberFormat="1" applyFont="1" applyBorder="1" applyProtection="1">
      <protection locked="0"/>
    </xf>
    <xf numFmtId="164" fontId="6" fillId="0" borderId="81" xfId="1" applyNumberFormat="1" applyFont="1" applyBorder="1" applyProtection="1">
      <protection locked="0"/>
    </xf>
    <xf numFmtId="0" fontId="0" fillId="6" borderId="0" xfId="0" applyFont="1" applyFill="1" applyBorder="1" applyProtection="1">
      <protection locked="0"/>
    </xf>
    <xf numFmtId="0" fontId="0" fillId="6" borderId="79" xfId="0" applyFont="1" applyFill="1" applyBorder="1" applyProtection="1">
      <protection locked="0"/>
    </xf>
    <xf numFmtId="164" fontId="6" fillId="0" borderId="11" xfId="1" applyNumberFormat="1" applyFont="1" applyBorder="1" applyProtection="1"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6" borderId="2" xfId="0" applyFont="1" applyFill="1" applyBorder="1" applyProtection="1">
      <protection locked="0"/>
    </xf>
    <xf numFmtId="0" fontId="0" fillId="6" borderId="3" xfId="0" applyFont="1" applyFill="1" applyBorder="1" applyProtection="1">
      <protection locked="0"/>
    </xf>
    <xf numFmtId="0" fontId="0" fillId="6" borderId="80" xfId="0" applyFont="1" applyFill="1" applyBorder="1" applyProtection="1"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6" borderId="5" xfId="0" applyFont="1" applyFill="1" applyBorder="1" applyProtection="1">
      <protection locked="0"/>
    </xf>
    <xf numFmtId="0" fontId="0" fillId="6" borderId="78" xfId="0" applyFont="1" applyFill="1" applyBorder="1" applyProtection="1">
      <protection locked="0"/>
    </xf>
    <xf numFmtId="1" fontId="0" fillId="6" borderId="2" xfId="0" applyNumberFormat="1" applyFont="1" applyFill="1" applyBorder="1" applyProtection="1"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0" fillId="6" borderId="7" xfId="0" applyFont="1" applyFill="1" applyBorder="1" applyProtection="1">
      <protection locked="0"/>
    </xf>
    <xf numFmtId="0" fontId="0" fillId="6" borderId="8" xfId="0" applyFont="1" applyFill="1" applyBorder="1" applyProtection="1">
      <protection locked="0"/>
    </xf>
    <xf numFmtId="0" fontId="0" fillId="6" borderId="8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82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9" fontId="6" fillId="0" borderId="79" xfId="36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78" xfId="0" applyFont="1" applyFill="1" applyBorder="1" applyAlignment="1" applyProtection="1">
      <alignment horizontal="center"/>
      <protection locked="0"/>
    </xf>
    <xf numFmtId="0" fontId="6" fillId="3" borderId="12" xfId="1" applyNumberFormat="1" applyFont="1" applyFill="1" applyBorder="1" applyAlignment="1" applyProtection="1">
      <alignment horizontal="center"/>
      <protection locked="0"/>
    </xf>
    <xf numFmtId="164" fontId="6" fillId="3" borderId="1" xfId="1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indent="1"/>
      <protection locked="0"/>
    </xf>
    <xf numFmtId="0" fontId="6" fillId="0" borderId="78" xfId="0" applyFont="1" applyFill="1" applyBorder="1" applyAlignment="1" applyProtection="1">
      <alignment horizontal="left" indent="1"/>
      <protection locked="0"/>
    </xf>
    <xf numFmtId="3" fontId="6" fillId="0" borderId="0" xfId="0" applyNumberFormat="1" applyFont="1" applyFill="1" applyProtection="1">
      <protection locked="0"/>
    </xf>
    <xf numFmtId="0" fontId="11" fillId="0" borderId="20" xfId="0" applyFont="1" applyFill="1" applyBorder="1" applyAlignment="1" applyProtection="1">
      <alignment horizontal="left"/>
      <protection locked="0"/>
    </xf>
    <xf numFmtId="0" fontId="11" fillId="0" borderId="86" xfId="0" applyFont="1" applyFill="1" applyBorder="1" applyAlignment="1" applyProtection="1">
      <alignment horizontal="left"/>
      <protection locked="0"/>
    </xf>
    <xf numFmtId="3" fontId="11" fillId="0" borderId="20" xfId="0" applyNumberFormat="1" applyFont="1" applyFill="1" applyBorder="1" applyProtection="1">
      <protection locked="0"/>
    </xf>
    <xf numFmtId="3" fontId="6" fillId="0" borderId="20" xfId="0" applyNumberFormat="1" applyFont="1" applyFill="1" applyBorder="1" applyProtection="1">
      <protection locked="0"/>
    </xf>
    <xf numFmtId="0" fontId="6" fillId="0" borderId="21" xfId="0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11" fillId="0" borderId="78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78" xfId="0" applyFont="1" applyFill="1" applyBorder="1" applyProtection="1"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11" fillId="0" borderId="78" xfId="0" applyFont="1" applyFill="1" applyBorder="1" applyProtection="1">
      <protection locked="0"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23" xfId="0" applyFont="1" applyFill="1" applyBorder="1" applyAlignment="1" applyProtection="1">
      <alignment horizontal="left"/>
      <protection locked="0"/>
    </xf>
    <xf numFmtId="0" fontId="11" fillId="0" borderId="23" xfId="0" applyFont="1" applyFill="1" applyBorder="1" applyProtection="1">
      <protection locked="0"/>
    </xf>
    <xf numFmtId="0" fontId="11" fillId="0" borderId="87" xfId="0" applyFont="1" applyFill="1" applyBorder="1" applyProtection="1">
      <protection locked="0"/>
    </xf>
    <xf numFmtId="3" fontId="11" fillId="0" borderId="23" xfId="0" applyNumberFormat="1" applyFont="1" applyFill="1" applyBorder="1" applyProtection="1">
      <protection locked="0"/>
    </xf>
    <xf numFmtId="3" fontId="11" fillId="0" borderId="24" xfId="0" applyNumberFormat="1" applyFont="1" applyFill="1" applyBorder="1" applyProtection="1">
      <protection locked="0"/>
    </xf>
    <xf numFmtId="0" fontId="44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88" xfId="0" applyBorder="1" applyProtection="1">
      <protection locked="0"/>
    </xf>
    <xf numFmtId="0" fontId="40" fillId="0" borderId="0" xfId="0" quotePrefix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90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6" xfId="0" applyBorder="1" applyProtection="1">
      <protection locked="0"/>
    </xf>
    <xf numFmtId="0" fontId="0" fillId="0" borderId="86" xfId="0" applyBorder="1"/>
    <xf numFmtId="0" fontId="45" fillId="3" borderId="0" xfId="0" applyFont="1" applyFill="1" applyProtection="1"/>
    <xf numFmtId="0" fontId="46" fillId="3" borderId="16" xfId="0" applyFont="1" applyFill="1" applyBorder="1" applyAlignment="1" applyProtection="1">
      <alignment horizontal="center"/>
    </xf>
    <xf numFmtId="0" fontId="47" fillId="3" borderId="0" xfId="0" applyFont="1" applyFill="1" applyAlignment="1" applyProtection="1">
      <alignment horizontal="center"/>
    </xf>
    <xf numFmtId="0" fontId="46" fillId="3" borderId="0" xfId="0" applyFont="1" applyFill="1" applyBorder="1" applyProtection="1"/>
    <xf numFmtId="0" fontId="48" fillId="0" borderId="0" xfId="0" applyFont="1" applyFill="1" applyProtection="1"/>
    <xf numFmtId="0" fontId="45" fillId="0" borderId="0" xfId="0" applyFont="1" applyFill="1" applyProtection="1"/>
    <xf numFmtId="0" fontId="50" fillId="3" borderId="32" xfId="0" applyFont="1" applyFill="1" applyBorder="1" applyAlignment="1" applyProtection="1">
      <alignment horizontal="center" vertical="center" wrapText="1"/>
    </xf>
    <xf numFmtId="0" fontId="50" fillId="3" borderId="67" xfId="0" applyFont="1" applyFill="1" applyBorder="1" applyAlignment="1" applyProtection="1">
      <alignment horizontal="center" vertical="center" wrapText="1"/>
    </xf>
    <xf numFmtId="0" fontId="50" fillId="3" borderId="39" xfId="0" applyFont="1" applyFill="1" applyBorder="1" applyAlignment="1" applyProtection="1">
      <alignment horizontal="center" vertical="center" wrapText="1"/>
    </xf>
    <xf numFmtId="0" fontId="50" fillId="3" borderId="40" xfId="0" applyFont="1" applyFill="1" applyBorder="1" applyAlignment="1" applyProtection="1">
      <alignment horizontal="center" vertical="center" wrapText="1"/>
    </xf>
    <xf numFmtId="0" fontId="49" fillId="3" borderId="53" xfId="0" applyFont="1" applyFill="1" applyBorder="1" applyAlignment="1" applyProtection="1">
      <alignment horizontal="center" vertical="center" wrapText="1"/>
    </xf>
    <xf numFmtId="0" fontId="45" fillId="6" borderId="31" xfId="0" applyFont="1" applyFill="1" applyBorder="1" applyAlignment="1" applyProtection="1">
      <alignment horizontal="center"/>
    </xf>
    <xf numFmtId="0" fontId="45" fillId="6" borderId="31" xfId="0" applyFont="1" applyFill="1" applyBorder="1" applyAlignment="1" applyProtection="1">
      <alignment horizontal="center" vertical="center"/>
    </xf>
    <xf numFmtId="9" fontId="45" fillId="6" borderId="31" xfId="2" applyFont="1" applyFill="1" applyBorder="1" applyAlignment="1" applyProtection="1">
      <alignment horizontal="center" vertical="center"/>
    </xf>
    <xf numFmtId="17" fontId="45" fillId="6" borderId="31" xfId="0" applyNumberFormat="1" applyFont="1" applyFill="1" applyBorder="1" applyAlignment="1" applyProtection="1">
      <alignment horizontal="center" vertical="center"/>
    </xf>
    <xf numFmtId="17" fontId="45" fillId="6" borderId="67" xfId="0" applyNumberFormat="1" applyFont="1" applyFill="1" applyBorder="1" applyAlignment="1" applyProtection="1">
      <alignment horizontal="center" vertical="center"/>
    </xf>
    <xf numFmtId="0" fontId="49" fillId="3" borderId="36" xfId="0" applyFont="1" applyFill="1" applyBorder="1" applyAlignment="1" applyProtection="1">
      <alignment horizontal="center" vertical="center" wrapText="1"/>
    </xf>
    <xf numFmtId="0" fontId="45" fillId="6" borderId="1" xfId="0" applyFont="1" applyFill="1" applyBorder="1" applyAlignment="1" applyProtection="1">
      <alignment horizontal="center"/>
    </xf>
    <xf numFmtId="0" fontId="45" fillId="6" borderId="1" xfId="0" applyFont="1" applyFill="1" applyBorder="1" applyAlignment="1" applyProtection="1">
      <alignment horizontal="center" vertical="center"/>
    </xf>
    <xf numFmtId="9" fontId="45" fillId="6" borderId="1" xfId="2" applyFont="1" applyFill="1" applyBorder="1" applyAlignment="1" applyProtection="1">
      <alignment horizontal="center" vertical="center"/>
    </xf>
    <xf numFmtId="17" fontId="45" fillId="6" borderId="1" xfId="0" applyNumberFormat="1" applyFont="1" applyFill="1" applyBorder="1" applyAlignment="1" applyProtection="1">
      <alignment horizontal="center" vertical="center"/>
    </xf>
    <xf numFmtId="17" fontId="45" fillId="6" borderId="37" xfId="0" applyNumberFormat="1" applyFont="1" applyFill="1" applyBorder="1" applyAlignment="1" applyProtection="1">
      <alignment horizontal="center" vertical="center"/>
    </xf>
    <xf numFmtId="0" fontId="49" fillId="3" borderId="38" xfId="0" applyFont="1" applyFill="1" applyBorder="1" applyAlignment="1" applyProtection="1">
      <alignment horizontal="center" vertical="center" wrapText="1"/>
    </xf>
    <xf numFmtId="0" fontId="45" fillId="3" borderId="39" xfId="0" applyFont="1" applyFill="1" applyBorder="1" applyAlignment="1" applyProtection="1">
      <alignment horizontal="center" vertical="center"/>
    </xf>
    <xf numFmtId="17" fontId="45" fillId="6" borderId="39" xfId="0" applyNumberFormat="1" applyFont="1" applyFill="1" applyBorder="1" applyAlignment="1" applyProtection="1">
      <alignment horizontal="center" vertical="center"/>
    </xf>
    <xf numFmtId="17" fontId="45" fillId="6" borderId="40" xfId="0" applyNumberFormat="1" applyFont="1" applyFill="1" applyBorder="1" applyAlignment="1" applyProtection="1">
      <alignment horizontal="center" vertical="center"/>
    </xf>
    <xf numFmtId="0" fontId="50" fillId="3" borderId="0" xfId="0" applyFont="1" applyFill="1" applyBorder="1" applyAlignment="1" applyProtection="1">
      <alignment horizontal="center" vertical="center" wrapText="1"/>
    </xf>
    <xf numFmtId="0" fontId="48" fillId="0" borderId="0" xfId="0" applyFont="1" applyProtection="1"/>
    <xf numFmtId="0" fontId="45" fillId="0" borderId="0" xfId="0" applyFont="1" applyProtection="1"/>
    <xf numFmtId="0" fontId="45" fillId="3" borderId="0" xfId="0" applyFont="1" applyFill="1" applyBorder="1" applyAlignment="1" applyProtection="1">
      <alignment vertical="center" textRotation="90"/>
    </xf>
    <xf numFmtId="0" fontId="45" fillId="0" borderId="0" xfId="0" applyFont="1" applyBorder="1" applyAlignment="1" applyProtection="1">
      <alignment vertical="center" textRotation="90"/>
    </xf>
    <xf numFmtId="49" fontId="49" fillId="6" borderId="53" xfId="0" applyNumberFormat="1" applyFont="1" applyFill="1" applyBorder="1" applyAlignment="1" applyProtection="1">
      <alignment horizontal="center"/>
    </xf>
    <xf numFmtId="1" fontId="45" fillId="6" borderId="32" xfId="0" applyNumberFormat="1" applyFont="1" applyFill="1" applyBorder="1" applyAlignment="1" applyProtection="1">
      <alignment horizontal="center"/>
    </xf>
    <xf numFmtId="1" fontId="45" fillId="6" borderId="34" xfId="0" applyNumberFormat="1" applyFont="1" applyFill="1" applyBorder="1" applyAlignment="1" applyProtection="1">
      <alignment horizontal="center"/>
    </xf>
    <xf numFmtId="49" fontId="49" fillId="6" borderId="36" xfId="0" applyNumberFormat="1" applyFont="1" applyFill="1" applyBorder="1" applyAlignment="1" applyProtection="1">
      <alignment horizontal="center"/>
    </xf>
    <xf numFmtId="1" fontId="45" fillId="6" borderId="15" xfId="0" applyNumberFormat="1" applyFont="1" applyFill="1" applyBorder="1" applyAlignment="1" applyProtection="1">
      <alignment horizontal="center"/>
    </xf>
    <xf numFmtId="1" fontId="45" fillId="6" borderId="62" xfId="0" applyNumberFormat="1" applyFont="1" applyFill="1" applyBorder="1" applyAlignment="1" applyProtection="1">
      <alignment horizontal="center"/>
    </xf>
    <xf numFmtId="1" fontId="45" fillId="6" borderId="14" xfId="0" applyNumberFormat="1" applyFont="1" applyFill="1" applyBorder="1" applyAlignment="1" applyProtection="1">
      <alignment horizontal="center"/>
    </xf>
    <xf numFmtId="1" fontId="45" fillId="6" borderId="77" xfId="0" applyNumberFormat="1" applyFont="1" applyFill="1" applyBorder="1" applyAlignment="1" applyProtection="1">
      <alignment horizontal="center"/>
    </xf>
    <xf numFmtId="0" fontId="49" fillId="3" borderId="0" xfId="0" applyFont="1" applyFill="1" applyBorder="1" applyAlignment="1" applyProtection="1">
      <alignment horizontal="center" vertical="center" textRotation="90" wrapText="1"/>
    </xf>
    <xf numFmtId="49" fontId="49" fillId="0" borderId="36" xfId="0" applyNumberFormat="1" applyFont="1" applyFill="1" applyBorder="1" applyAlignment="1" applyProtection="1">
      <alignment horizontal="center"/>
    </xf>
    <xf numFmtId="10" fontId="45" fillId="6" borderId="1" xfId="2" applyNumberFormat="1" applyFont="1" applyFill="1" applyBorder="1" applyAlignment="1" applyProtection="1">
      <alignment horizontal="center"/>
    </xf>
    <xf numFmtId="10" fontId="45" fillId="6" borderId="37" xfId="2" applyNumberFormat="1" applyFont="1" applyFill="1" applyBorder="1" applyAlignment="1" applyProtection="1">
      <alignment horizontal="center"/>
    </xf>
    <xf numFmtId="0" fontId="45" fillId="3" borderId="63" xfId="0" applyFont="1" applyFill="1" applyBorder="1" applyProtection="1"/>
    <xf numFmtId="0" fontId="45" fillId="3" borderId="54" xfId="0" applyFont="1" applyFill="1" applyBorder="1" applyProtection="1"/>
    <xf numFmtId="10" fontId="45" fillId="6" borderId="39" xfId="2" applyNumberFormat="1" applyFont="1" applyFill="1" applyBorder="1" applyAlignment="1" applyProtection="1">
      <alignment horizontal="center"/>
    </xf>
    <xf numFmtId="0" fontId="45" fillId="3" borderId="40" xfId="0" applyFont="1" applyFill="1" applyBorder="1" applyProtection="1"/>
    <xf numFmtId="17" fontId="45" fillId="0" borderId="48" xfId="0" applyNumberFormat="1" applyFont="1" applyFill="1" applyBorder="1" applyAlignment="1" applyProtection="1">
      <alignment horizontal="center"/>
    </xf>
    <xf numFmtId="0" fontId="45" fillId="0" borderId="48" xfId="0" applyFont="1" applyFill="1" applyBorder="1" applyAlignment="1" applyProtection="1"/>
    <xf numFmtId="0" fontId="45" fillId="0" borderId="49" xfId="0" applyFont="1" applyFill="1" applyBorder="1" applyAlignment="1" applyProtection="1"/>
    <xf numFmtId="0" fontId="45" fillId="0" borderId="60" xfId="0" applyFont="1" applyFill="1" applyBorder="1" applyAlignment="1" applyProtection="1"/>
    <xf numFmtId="167" fontId="45" fillId="0" borderId="39" xfId="1" applyNumberFormat="1" applyFont="1" applyFill="1" applyBorder="1" applyAlignment="1" applyProtection="1">
      <alignment horizontal="center"/>
    </xf>
    <xf numFmtId="167" fontId="45" fillId="0" borderId="40" xfId="1" applyNumberFormat="1" applyFont="1" applyFill="1" applyBorder="1" applyAlignment="1" applyProtection="1">
      <alignment horizontal="center"/>
    </xf>
    <xf numFmtId="1" fontId="45" fillId="6" borderId="32" xfId="0" applyNumberFormat="1" applyFont="1" applyFill="1" applyBorder="1" applyProtection="1"/>
    <xf numFmtId="1" fontId="45" fillId="6" borderId="34" xfId="0" applyNumberFormat="1" applyFont="1" applyFill="1" applyBorder="1" applyProtection="1"/>
    <xf numFmtId="1" fontId="45" fillId="6" borderId="15" xfId="0" applyNumberFormat="1" applyFont="1" applyFill="1" applyBorder="1" applyProtection="1"/>
    <xf numFmtId="1" fontId="45" fillId="6" borderId="62" xfId="0" applyNumberFormat="1" applyFont="1" applyFill="1" applyBorder="1" applyProtection="1"/>
    <xf numFmtId="1" fontId="45" fillId="6" borderId="58" xfId="0" applyNumberFormat="1" applyFont="1" applyFill="1" applyBorder="1" applyProtection="1"/>
    <xf numFmtId="1" fontId="45" fillId="6" borderId="65" xfId="0" applyNumberFormat="1" applyFont="1" applyFill="1" applyBorder="1" applyProtection="1"/>
    <xf numFmtId="167" fontId="45" fillId="0" borderId="13" xfId="1" applyNumberFormat="1" applyFont="1" applyFill="1" applyBorder="1" applyAlignment="1" applyProtection="1">
      <alignment horizontal="center"/>
    </xf>
    <xf numFmtId="167" fontId="45" fillId="0" borderId="61" xfId="1" applyNumberFormat="1" applyFont="1" applyFill="1" applyBorder="1" applyAlignment="1" applyProtection="1">
      <alignment horizontal="center"/>
    </xf>
    <xf numFmtId="0" fontId="45" fillId="6" borderId="32" xfId="0" applyFont="1" applyFill="1" applyBorder="1" applyProtection="1"/>
    <xf numFmtId="0" fontId="45" fillId="6" borderId="34" xfId="0" applyFont="1" applyFill="1" applyBorder="1" applyProtection="1"/>
    <xf numFmtId="0" fontId="45" fillId="6" borderId="15" xfId="0" applyFont="1" applyFill="1" applyBorder="1" applyProtection="1"/>
    <xf numFmtId="0" fontId="45" fillId="6" borderId="62" xfId="0" applyFont="1" applyFill="1" applyBorder="1" applyProtection="1"/>
    <xf numFmtId="17" fontId="45" fillId="0" borderId="31" xfId="0" applyNumberFormat="1" applyFont="1" applyFill="1" applyBorder="1" applyAlignment="1" applyProtection="1">
      <alignment horizontal="center"/>
    </xf>
    <xf numFmtId="0" fontId="45" fillId="0" borderId="50" xfId="0" applyFont="1" applyFill="1" applyBorder="1" applyAlignment="1" applyProtection="1"/>
    <xf numFmtId="0" fontId="45" fillId="6" borderId="32" xfId="0" applyFont="1" applyFill="1" applyBorder="1" applyAlignment="1" applyProtection="1">
      <alignment horizontal="center" vertical="center"/>
    </xf>
    <xf numFmtId="0" fontId="45" fillId="3" borderId="55" xfId="0" applyFont="1" applyFill="1" applyBorder="1" applyProtection="1"/>
    <xf numFmtId="0" fontId="45" fillId="3" borderId="66" xfId="0" applyFont="1" applyFill="1" applyBorder="1" applyProtection="1"/>
    <xf numFmtId="1" fontId="45" fillId="6" borderId="13" xfId="0" applyNumberFormat="1" applyFont="1" applyFill="1" applyBorder="1" applyAlignment="1" applyProtection="1">
      <alignment horizontal="right" vertical="center"/>
    </xf>
    <xf numFmtId="1" fontId="45" fillId="6" borderId="61" xfId="0" applyNumberFormat="1" applyFont="1" applyFill="1" applyBorder="1" applyAlignment="1" applyProtection="1">
      <alignment horizontal="right" vertical="center"/>
    </xf>
    <xf numFmtId="1" fontId="45" fillId="6" borderId="58" xfId="0" applyNumberFormat="1" applyFont="1" applyFill="1" applyBorder="1" applyAlignment="1" applyProtection="1">
      <alignment horizontal="right" vertical="center"/>
    </xf>
    <xf numFmtId="1" fontId="45" fillId="6" borderId="65" xfId="0" applyNumberFormat="1" applyFont="1" applyFill="1" applyBorder="1" applyAlignment="1" applyProtection="1">
      <alignment horizontal="right" vertical="center"/>
    </xf>
    <xf numFmtId="0" fontId="45" fillId="6" borderId="15" xfId="0" applyFont="1" applyFill="1" applyBorder="1" applyAlignment="1" applyProtection="1">
      <alignment horizontal="center" vertical="center"/>
    </xf>
    <xf numFmtId="0" fontId="45" fillId="3" borderId="0" xfId="0" applyFont="1" applyFill="1" applyBorder="1" applyProtection="1"/>
    <xf numFmtId="0" fontId="45" fillId="3" borderId="44" xfId="0" applyFont="1" applyFill="1" applyBorder="1" applyProtection="1"/>
    <xf numFmtId="165" fontId="45" fillId="3" borderId="1" xfId="1" applyNumberFormat="1" applyFont="1" applyFill="1" applyBorder="1" applyAlignment="1" applyProtection="1">
      <alignment horizontal="right"/>
    </xf>
    <xf numFmtId="9" fontId="45" fillId="6" borderId="1" xfId="0" applyNumberFormat="1" applyFont="1" applyFill="1" applyBorder="1" applyAlignment="1" applyProtection="1">
      <alignment horizontal="center"/>
    </xf>
    <xf numFmtId="0" fontId="45" fillId="3" borderId="20" xfId="0" applyFont="1" applyFill="1" applyBorder="1" applyProtection="1"/>
    <xf numFmtId="0" fontId="51" fillId="3" borderId="20" xfId="0" applyFont="1" applyFill="1" applyBorder="1" applyProtection="1"/>
    <xf numFmtId="0" fontId="0" fillId="3" borderId="86" xfId="0" applyFill="1" applyBorder="1" applyProtection="1"/>
    <xf numFmtId="164" fontId="6" fillId="0" borderId="12" xfId="1" applyNumberFormat="1" applyFont="1" applyBorder="1" applyProtection="1">
      <protection locked="0"/>
    </xf>
    <xf numFmtId="164" fontId="41" fillId="3" borderId="3" xfId="1" applyNumberFormat="1" applyFont="1" applyFill="1" applyBorder="1" applyProtection="1"/>
    <xf numFmtId="164" fontId="41" fillId="3" borderId="0" xfId="1" applyNumberFormat="1" applyFont="1" applyFill="1" applyBorder="1" applyProtection="1"/>
    <xf numFmtId="164" fontId="42" fillId="3" borderId="11" xfId="1" applyNumberFormat="1" applyFont="1" applyFill="1" applyBorder="1" applyProtection="1"/>
    <xf numFmtId="164" fontId="41" fillId="3" borderId="11" xfId="1" applyNumberFormat="1" applyFont="1" applyFill="1" applyBorder="1" applyProtection="1"/>
    <xf numFmtId="173" fontId="2" fillId="3" borderId="3" xfId="1" applyNumberFormat="1" applyFont="1" applyFill="1" applyBorder="1" applyProtection="1"/>
    <xf numFmtId="173" fontId="2" fillId="3" borderId="5" xfId="1" applyNumberFormat="1" applyFont="1" applyFill="1" applyBorder="1" applyProtection="1"/>
    <xf numFmtId="173" fontId="2" fillId="3" borderId="0" xfId="1" applyNumberFormat="1" applyFont="1" applyFill="1" applyBorder="1" applyProtection="1"/>
    <xf numFmtId="173" fontId="42" fillId="3" borderId="0" xfId="1" applyNumberFormat="1" applyFont="1" applyFill="1" applyBorder="1" applyProtection="1"/>
    <xf numFmtId="165" fontId="42" fillId="3" borderId="3" xfId="1" applyNumberFormat="1" applyFont="1" applyFill="1" applyBorder="1" applyProtection="1"/>
    <xf numFmtId="165" fontId="2" fillId="3" borderId="0" xfId="1" applyNumberFormat="1" applyFont="1" applyFill="1" applyBorder="1" applyProtection="1"/>
    <xf numFmtId="165" fontId="2" fillId="3" borderId="8" xfId="1" applyNumberFormat="1" applyFont="1" applyFill="1" applyBorder="1" applyProtection="1"/>
    <xf numFmtId="173" fontId="2" fillId="3" borderId="8" xfId="1" applyNumberFormat="1" applyFont="1" applyFill="1" applyBorder="1" applyProtection="1"/>
    <xf numFmtId="165" fontId="41" fillId="3" borderId="8" xfId="1" applyNumberFormat="1" applyFont="1" applyFill="1" applyBorder="1" applyProtection="1"/>
    <xf numFmtId="0" fontId="0" fillId="3" borderId="0" xfId="0" applyFont="1" applyFill="1" applyProtection="1"/>
    <xf numFmtId="0" fontId="16" fillId="3" borderId="16" xfId="0" applyFont="1" applyFill="1" applyBorder="1" applyAlignment="1" applyProtection="1">
      <alignment horizontal="center"/>
    </xf>
    <xf numFmtId="0" fontId="16" fillId="3" borderId="16" xfId="0" applyFont="1" applyFill="1" applyBorder="1" applyProtection="1"/>
    <xf numFmtId="0" fontId="20" fillId="3" borderId="16" xfId="0" applyFont="1" applyFill="1" applyBorder="1" applyProtection="1"/>
    <xf numFmtId="0" fontId="21" fillId="3" borderId="16" xfId="0" applyFont="1" applyFill="1" applyBorder="1" applyProtection="1"/>
    <xf numFmtId="164" fontId="21" fillId="3" borderId="16" xfId="1" applyNumberFormat="1" applyFont="1" applyFill="1" applyBorder="1" applyProtection="1"/>
    <xf numFmtId="0" fontId="21" fillId="3" borderId="0" xfId="0" applyFont="1" applyFill="1" applyProtection="1"/>
    <xf numFmtId="0" fontId="6" fillId="3" borderId="0" xfId="0" applyFont="1" applyFill="1" applyProtection="1"/>
    <xf numFmtId="0" fontId="0" fillId="3" borderId="46" xfId="0" applyFont="1" applyFill="1" applyBorder="1" applyProtection="1"/>
    <xf numFmtId="165" fontId="18" fillId="3" borderId="48" xfId="1" applyNumberFormat="1" applyFont="1" applyFill="1" applyBorder="1" applyAlignment="1" applyProtection="1">
      <alignment horizontal="center"/>
    </xf>
    <xf numFmtId="9" fontId="11" fillId="3" borderId="50" xfId="0" applyNumberFormat="1" applyFont="1" applyFill="1" applyBorder="1" applyAlignment="1" applyProtection="1">
      <alignment horizontal="center"/>
    </xf>
    <xf numFmtId="0" fontId="0" fillId="3" borderId="0" xfId="0" applyFont="1" applyFill="1" applyBorder="1" applyProtection="1"/>
    <xf numFmtId="0" fontId="0" fillId="3" borderId="51" xfId="0" applyFont="1" applyFill="1" applyBorder="1" applyProtection="1"/>
    <xf numFmtId="165" fontId="18" fillId="3" borderId="63" xfId="1" applyNumberFormat="1" applyFont="1" applyFill="1" applyBorder="1" applyAlignment="1" applyProtection="1">
      <alignment horizontal="center"/>
    </xf>
    <xf numFmtId="9" fontId="11" fillId="3" borderId="74" xfId="0" applyNumberFormat="1" applyFont="1" applyFill="1" applyBorder="1" applyAlignment="1" applyProtection="1">
      <alignment horizontal="center"/>
    </xf>
    <xf numFmtId="0" fontId="0" fillId="3" borderId="16" xfId="0" applyFont="1" applyFill="1" applyBorder="1" applyProtection="1"/>
    <xf numFmtId="0" fontId="26" fillId="3" borderId="14" xfId="0" applyFont="1" applyFill="1" applyBorder="1" applyProtection="1"/>
    <xf numFmtId="0" fontId="27" fillId="3" borderId="14" xfId="0" applyFont="1" applyFill="1" applyBorder="1" applyAlignment="1" applyProtection="1">
      <alignment horizontal="center"/>
    </xf>
    <xf numFmtId="0" fontId="2" fillId="4" borderId="8" xfId="0" applyNumberFormat="1" applyFont="1" applyFill="1" applyBorder="1" applyAlignment="1" applyProtection="1">
      <alignment horizontal="center" vertical="center"/>
    </xf>
    <xf numFmtId="0" fontId="2" fillId="4" borderId="49" xfId="0" applyNumberFormat="1" applyFont="1" applyFill="1" applyBorder="1" applyAlignment="1" applyProtection="1">
      <alignment horizontal="center" vertical="center"/>
    </xf>
    <xf numFmtId="0" fontId="26" fillId="3" borderId="15" xfId="0" applyFont="1" applyFill="1" applyBorder="1" applyProtection="1"/>
    <xf numFmtId="0" fontId="0" fillId="5" borderId="0" xfId="1" applyNumberFormat="1" applyFont="1" applyFill="1" applyBorder="1" applyAlignment="1" applyProtection="1">
      <alignment horizontal="center"/>
    </xf>
    <xf numFmtId="0" fontId="26" fillId="3" borderId="13" xfId="0" applyFont="1" applyFill="1" applyBorder="1" applyProtection="1"/>
    <xf numFmtId="0" fontId="11" fillId="3" borderId="1" xfId="0" applyFont="1" applyFill="1" applyBorder="1" applyAlignment="1" applyProtection="1">
      <alignment horizontal="center"/>
    </xf>
    <xf numFmtId="167" fontId="11" fillId="3" borderId="11" xfId="1" applyNumberFormat="1" applyFont="1" applyFill="1" applyBorder="1" applyAlignment="1" applyProtection="1">
      <alignment horizontal="center"/>
    </xf>
    <xf numFmtId="167" fontId="6" fillId="3" borderId="13" xfId="1" applyNumberFormat="1" applyFont="1" applyFill="1" applyBorder="1" applyAlignment="1" applyProtection="1">
      <alignment horizontal="left"/>
    </xf>
    <xf numFmtId="167" fontId="6" fillId="3" borderId="15" xfId="1" applyNumberFormat="1" applyFont="1" applyFill="1" applyBorder="1" applyAlignment="1" applyProtection="1">
      <alignment horizontal="left"/>
    </xf>
    <xf numFmtId="0" fontId="18" fillId="3" borderId="13" xfId="0" applyFont="1" applyFill="1" applyBorder="1" applyAlignment="1" applyProtection="1">
      <alignment horizontal="center" vertical="center"/>
    </xf>
    <xf numFmtId="167" fontId="11" fillId="3" borderId="1" xfId="1" applyNumberFormat="1" applyFont="1" applyFill="1" applyBorder="1" applyAlignment="1" applyProtection="1">
      <alignment horizontal="left"/>
    </xf>
    <xf numFmtId="165" fontId="6" fillId="3" borderId="1" xfId="1" applyNumberFormat="1" applyFont="1" applyFill="1" applyBorder="1" applyProtection="1"/>
    <xf numFmtId="165" fontId="6" fillId="3" borderId="15" xfId="1" applyNumberFormat="1" applyFont="1" applyFill="1" applyBorder="1" applyProtection="1"/>
    <xf numFmtId="0" fontId="6" fillId="3" borderId="15" xfId="0" applyFont="1" applyFill="1" applyBorder="1" applyProtection="1"/>
    <xf numFmtId="0" fontId="2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11" fillId="3" borderId="14" xfId="0" applyFont="1" applyFill="1" applyBorder="1" applyProtection="1"/>
    <xf numFmtId="0" fontId="11" fillId="3" borderId="13" xfId="0" applyFont="1" applyFill="1" applyBorder="1" applyProtection="1"/>
    <xf numFmtId="0" fontId="2" fillId="3" borderId="14" xfId="0" applyFont="1" applyFill="1" applyBorder="1" applyProtection="1"/>
    <xf numFmtId="0" fontId="11" fillId="3" borderId="15" xfId="0" applyFont="1" applyFill="1" applyBorder="1" applyProtection="1"/>
    <xf numFmtId="0" fontId="2" fillId="3" borderId="15" xfId="0" applyFont="1" applyFill="1" applyBorder="1" applyProtection="1"/>
    <xf numFmtId="165" fontId="11" fillId="3" borderId="13" xfId="1" applyNumberFormat="1" applyFont="1" applyFill="1" applyBorder="1" applyProtection="1"/>
    <xf numFmtId="165" fontId="0" fillId="3" borderId="0" xfId="0" applyNumberFormat="1" applyFont="1" applyFill="1" applyBorder="1" applyProtection="1"/>
    <xf numFmtId="165" fontId="2" fillId="3" borderId="14" xfId="1" applyNumberFormat="1" applyFont="1" applyFill="1" applyBorder="1" applyProtection="1"/>
    <xf numFmtId="0" fontId="2" fillId="3" borderId="58" xfId="0" applyFont="1" applyFill="1" applyBorder="1" applyProtection="1"/>
    <xf numFmtId="165" fontId="2" fillId="3" borderId="16" xfId="1" applyNumberFormat="1" applyFont="1" applyFill="1" applyBorder="1" applyProtection="1"/>
    <xf numFmtId="0" fontId="0" fillId="3" borderId="0" xfId="0" applyNumberFormat="1" applyFont="1" applyFill="1" applyBorder="1" applyAlignment="1" applyProtection="1">
      <alignment vertical="center" textRotation="90" wrapText="1"/>
    </xf>
    <xf numFmtId="0" fontId="18" fillId="3" borderId="0" xfId="0" applyFont="1" applyFill="1" applyBorder="1" applyProtection="1"/>
    <xf numFmtId="164" fontId="0" fillId="3" borderId="0" xfId="1" applyNumberFormat="1" applyFont="1" applyFill="1" applyProtection="1"/>
    <xf numFmtId="0" fontId="0" fillId="0" borderId="0" xfId="0" applyFont="1" applyProtection="1"/>
    <xf numFmtId="164" fontId="0" fillId="0" borderId="0" xfId="1" applyNumberFormat="1" applyFont="1" applyProtection="1"/>
    <xf numFmtId="0" fontId="27" fillId="3" borderId="0" xfId="0" applyFont="1" applyFill="1" applyBorder="1" applyProtection="1"/>
    <xf numFmtId="165" fontId="27" fillId="3" borderId="0" xfId="1" applyNumberFormat="1" applyFont="1" applyFill="1" applyBorder="1" applyProtection="1"/>
    <xf numFmtId="49" fontId="6" fillId="3" borderId="0" xfId="0" applyNumberFormat="1" applyFont="1" applyFill="1" applyProtection="1"/>
    <xf numFmtId="164" fontId="28" fillId="3" borderId="0" xfId="1" applyNumberFormat="1" applyFont="1" applyFill="1" applyProtection="1"/>
    <xf numFmtId="165" fontId="27" fillId="3" borderId="41" xfId="1" applyNumberFormat="1" applyFont="1" applyFill="1" applyBorder="1" applyProtection="1"/>
    <xf numFmtId="165" fontId="27" fillId="3" borderId="42" xfId="1" applyNumberFormat="1" applyFont="1" applyFill="1" applyBorder="1" applyAlignment="1" applyProtection="1">
      <alignment horizontal="right" vertical="center"/>
    </xf>
    <xf numFmtId="165" fontId="27" fillId="3" borderId="42" xfId="1" applyNumberFormat="1" applyFont="1" applyFill="1" applyBorder="1" applyAlignment="1" applyProtection="1">
      <alignment horizontal="right"/>
    </xf>
    <xf numFmtId="165" fontId="27" fillId="3" borderId="43" xfId="1" applyNumberFormat="1" applyFont="1" applyFill="1" applyBorder="1" applyProtection="1"/>
    <xf numFmtId="171" fontId="27" fillId="3" borderId="44" xfId="2" applyNumberFormat="1" applyFont="1" applyFill="1" applyBorder="1" applyProtection="1"/>
    <xf numFmtId="165" fontId="27" fillId="3" borderId="51" xfId="1" applyNumberFormat="1" applyFont="1" applyFill="1" applyBorder="1" applyProtection="1"/>
    <xf numFmtId="165" fontId="27" fillId="3" borderId="45" xfId="1" applyNumberFormat="1" applyFont="1" applyFill="1" applyBorder="1" applyProtection="1"/>
    <xf numFmtId="164" fontId="6" fillId="0" borderId="89" xfId="1" applyNumberFormat="1" applyFont="1" applyBorder="1" applyProtection="1">
      <protection locked="0"/>
    </xf>
    <xf numFmtId="164" fontId="6" fillId="0" borderId="88" xfId="1" applyNumberFormat="1" applyFont="1" applyBorder="1" applyProtection="1">
      <protection locked="0"/>
    </xf>
    <xf numFmtId="164" fontId="6" fillId="0" borderId="91" xfId="1" applyNumberFormat="1" applyFont="1" applyBorder="1" applyProtection="1">
      <protection locked="0"/>
    </xf>
    <xf numFmtId="164" fontId="41" fillId="7" borderId="3" xfId="1" applyNumberFormat="1" applyFont="1" applyFill="1" applyBorder="1" applyProtection="1">
      <protection locked="0"/>
    </xf>
    <xf numFmtId="164" fontId="41" fillId="7" borderId="80" xfId="1" applyNumberFormat="1" applyFont="1" applyFill="1" applyBorder="1" applyProtection="1">
      <protection locked="0"/>
    </xf>
    <xf numFmtId="164" fontId="41" fillId="7" borderId="0" xfId="1" applyNumberFormat="1" applyFont="1" applyFill="1" applyBorder="1" applyProtection="1">
      <protection locked="0"/>
    </xf>
    <xf numFmtId="164" fontId="41" fillId="7" borderId="78" xfId="1" applyNumberFormat="1" applyFont="1" applyFill="1" applyBorder="1" applyProtection="1">
      <protection locked="0"/>
    </xf>
    <xf numFmtId="164" fontId="41" fillId="7" borderId="11" xfId="1" applyNumberFormat="1" applyFont="1" applyFill="1" applyBorder="1" applyProtection="1">
      <protection locked="0"/>
    </xf>
    <xf numFmtId="164" fontId="41" fillId="7" borderId="79" xfId="1" applyNumberFormat="1" applyFont="1" applyFill="1" applyBorder="1" applyProtection="1">
      <protection locked="0"/>
    </xf>
    <xf numFmtId="164" fontId="6" fillId="0" borderId="3" xfId="1" applyNumberFormat="1" applyFont="1" applyFill="1" applyBorder="1" applyProtection="1">
      <protection locked="0"/>
    </xf>
    <xf numFmtId="164" fontId="6" fillId="0" borderId="4" xfId="1" applyNumberFormat="1" applyFont="1" applyFill="1" applyBorder="1" applyProtection="1">
      <protection locked="0"/>
    </xf>
    <xf numFmtId="164" fontId="6" fillId="0" borderId="0" xfId="1" applyNumberFormat="1" applyFont="1" applyFill="1" applyBorder="1" applyProtection="1">
      <protection locked="0"/>
    </xf>
    <xf numFmtId="164" fontId="6" fillId="0" borderId="6" xfId="1" applyNumberFormat="1" applyFont="1" applyFill="1" applyBorder="1" applyProtection="1">
      <protection locked="0"/>
    </xf>
    <xf numFmtId="164" fontId="6" fillId="0" borderId="8" xfId="1" applyNumberFormat="1" applyFont="1" applyFill="1" applyBorder="1" applyProtection="1">
      <protection locked="0"/>
    </xf>
    <xf numFmtId="164" fontId="6" fillId="0" borderId="9" xfId="1" applyNumberFormat="1" applyFont="1" applyFill="1" applyBorder="1" applyProtection="1">
      <protection locked="0"/>
    </xf>
    <xf numFmtId="173" fontId="41" fillId="3" borderId="10" xfId="1" applyNumberFormat="1" applyFont="1" applyFill="1" applyBorder="1" applyProtection="1">
      <protection locked="0"/>
    </xf>
    <xf numFmtId="1" fontId="2" fillId="0" borderId="1" xfId="0" applyNumberFormat="1" applyFont="1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right"/>
      <protection locked="0"/>
    </xf>
    <xf numFmtId="164" fontId="6" fillId="0" borderId="0" xfId="0" applyNumberFormat="1" applyFont="1" applyBorder="1" applyProtection="1">
      <protection locked="0"/>
    </xf>
    <xf numFmtId="10" fontId="6" fillId="2" borderId="39" xfId="2" applyNumberFormat="1" applyFont="1" applyFill="1" applyBorder="1" applyAlignment="1" applyProtection="1">
      <alignment horizontal="center"/>
      <protection locked="0"/>
    </xf>
    <xf numFmtId="10" fontId="6" fillId="2" borderId="1" xfId="2" applyNumberFormat="1" applyFont="1" applyFill="1" applyBorder="1" applyAlignment="1" applyProtection="1">
      <alignment horizontal="center"/>
      <protection locked="0"/>
    </xf>
    <xf numFmtId="0" fontId="22" fillId="3" borderId="16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textRotation="90"/>
    </xf>
    <xf numFmtId="0" fontId="31" fillId="0" borderId="69" xfId="0" applyFont="1" applyBorder="1" applyAlignment="1">
      <alignment horizontal="center" vertical="center" textRotation="90"/>
    </xf>
    <xf numFmtId="0" fontId="31" fillId="0" borderId="70" xfId="0" applyFont="1" applyBorder="1" applyAlignment="1">
      <alignment horizontal="center" vertical="center" textRotation="90"/>
    </xf>
    <xf numFmtId="0" fontId="31" fillId="0" borderId="71" xfId="0" applyFont="1" applyBorder="1" applyAlignment="1">
      <alignment horizontal="center" vertical="center" textRotation="90"/>
    </xf>
    <xf numFmtId="0" fontId="31" fillId="0" borderId="72" xfId="0" applyFont="1" applyBorder="1" applyAlignment="1">
      <alignment horizontal="center" vertical="center" textRotation="90"/>
    </xf>
    <xf numFmtId="0" fontId="31" fillId="0" borderId="73" xfId="0" applyFont="1" applyBorder="1" applyAlignment="1">
      <alignment horizontal="center" vertical="center" textRotation="90"/>
    </xf>
    <xf numFmtId="0" fontId="31" fillId="0" borderId="68" xfId="0" applyFont="1" applyBorder="1" applyAlignment="1">
      <alignment horizontal="center" vertical="center" textRotation="90" wrapText="1"/>
    </xf>
    <xf numFmtId="0" fontId="31" fillId="0" borderId="69" xfId="0" applyFont="1" applyBorder="1" applyAlignment="1">
      <alignment horizontal="center" vertical="center" textRotation="90" wrapText="1"/>
    </xf>
    <xf numFmtId="0" fontId="31" fillId="0" borderId="70" xfId="0" applyFont="1" applyBorder="1" applyAlignment="1">
      <alignment horizontal="center" vertical="center" textRotation="90" wrapText="1"/>
    </xf>
    <xf numFmtId="0" fontId="6" fillId="2" borderId="51" xfId="0" applyFont="1" applyFill="1" applyBorder="1" applyAlignment="1" applyProtection="1">
      <alignment horizontal="center"/>
      <protection locked="0"/>
    </xf>
    <xf numFmtId="0" fontId="6" fillId="2" borderId="52" xfId="0" applyFont="1" applyFill="1" applyBorder="1" applyAlignment="1" applyProtection="1">
      <alignment horizontal="center"/>
      <protection locked="0"/>
    </xf>
    <xf numFmtId="0" fontId="6" fillId="3" borderId="4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70" fontId="3" fillId="3" borderId="31" xfId="0" applyNumberFormat="1" applyFont="1" applyFill="1" applyBorder="1" applyAlignment="1">
      <alignment horizontal="center" vertical="center" wrapText="1"/>
    </xf>
    <xf numFmtId="170" fontId="3" fillId="3" borderId="13" xfId="0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0" fillId="3" borderId="30" xfId="0" applyFont="1" applyFill="1" applyBorder="1" applyAlignment="1">
      <alignment horizontal="center" vertical="center" wrapText="1"/>
    </xf>
    <xf numFmtId="0" fontId="40" fillId="3" borderId="56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 applyProtection="1">
      <alignment horizontal="center"/>
      <protection locked="0"/>
    </xf>
    <xf numFmtId="166" fontId="6" fillId="2" borderId="4" xfId="0" applyNumberFormat="1" applyFont="1" applyFill="1" applyBorder="1" applyAlignment="1" applyProtection="1">
      <alignment horizontal="center"/>
      <protection locked="0"/>
    </xf>
    <xf numFmtId="166" fontId="6" fillId="2" borderId="51" xfId="0" applyNumberFormat="1" applyFont="1" applyFill="1" applyBorder="1" applyAlignment="1" applyProtection="1">
      <alignment horizontal="center"/>
      <protection locked="0"/>
    </xf>
    <xf numFmtId="166" fontId="6" fillId="2" borderId="52" xfId="0" applyNumberFormat="1" applyFont="1" applyFill="1" applyBorder="1" applyAlignment="1" applyProtection="1">
      <alignment horizontal="center"/>
      <protection locked="0"/>
    </xf>
    <xf numFmtId="0" fontId="6" fillId="3" borderId="46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4" fillId="3" borderId="5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6" fillId="3" borderId="46" xfId="0" applyNumberFormat="1" applyFont="1" applyFill="1" applyBorder="1" applyAlignment="1">
      <alignment horizontal="center"/>
    </xf>
    <xf numFmtId="49" fontId="6" fillId="3" borderId="43" xfId="0" applyNumberFormat="1" applyFont="1" applyFill="1" applyBorder="1" applyAlignment="1">
      <alignment horizontal="center"/>
    </xf>
    <xf numFmtId="49" fontId="6" fillId="3" borderId="51" xfId="0" applyNumberFormat="1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164" fontId="18" fillId="3" borderId="59" xfId="1" applyNumberFormat="1" applyFont="1" applyFill="1" applyBorder="1" applyAlignment="1" applyProtection="1">
      <alignment horizontal="center"/>
    </xf>
    <xf numFmtId="164" fontId="18" fillId="3" borderId="50" xfId="1" applyNumberFormat="1" applyFont="1" applyFill="1" applyBorder="1" applyAlignment="1" applyProtection="1">
      <alignment horizontal="center"/>
    </xf>
    <xf numFmtId="0" fontId="18" fillId="3" borderId="13" xfId="0" applyFont="1" applyFill="1" applyBorder="1" applyAlignment="1" applyProtection="1">
      <alignment horizontal="center" vertical="center" wrapText="1"/>
    </xf>
    <xf numFmtId="0" fontId="18" fillId="3" borderId="14" xfId="0" applyFont="1" applyFill="1" applyBorder="1" applyAlignment="1" applyProtection="1">
      <alignment horizontal="center" vertical="center" wrapText="1"/>
    </xf>
    <xf numFmtId="0" fontId="42" fillId="3" borderId="64" xfId="0" applyNumberFormat="1" applyFont="1" applyFill="1" applyBorder="1" applyAlignment="1" applyProtection="1">
      <alignment horizontal="center" vertical="center" textRotation="90" wrapText="1"/>
    </xf>
    <xf numFmtId="0" fontId="42" fillId="3" borderId="56" xfId="0" applyNumberFormat="1" applyFont="1" applyFill="1" applyBorder="1" applyAlignment="1" applyProtection="1">
      <alignment horizontal="center" vertical="center" textRotation="90" wrapText="1"/>
    </xf>
    <xf numFmtId="0" fontId="42" fillId="3" borderId="57" xfId="0" applyNumberFormat="1" applyFont="1" applyFill="1" applyBorder="1" applyAlignment="1" applyProtection="1">
      <alignment horizontal="center" vertical="center" textRotation="90" wrapText="1"/>
    </xf>
    <xf numFmtId="0" fontId="42" fillId="3" borderId="30" xfId="0" applyFont="1" applyFill="1" applyBorder="1" applyAlignment="1" applyProtection="1">
      <alignment horizontal="center" vertical="center" textRotation="90"/>
    </xf>
    <xf numFmtId="0" fontId="42" fillId="3" borderId="56" xfId="0" applyFont="1" applyFill="1" applyBorder="1" applyAlignment="1" applyProtection="1">
      <alignment horizontal="center" vertical="center" textRotation="90"/>
    </xf>
    <xf numFmtId="0" fontId="42" fillId="3" borderId="35" xfId="0" applyFont="1" applyFill="1" applyBorder="1" applyAlignment="1" applyProtection="1">
      <alignment horizontal="center" vertical="center" textRotation="90"/>
    </xf>
    <xf numFmtId="0" fontId="18" fillId="3" borderId="1" xfId="0" applyFont="1" applyFill="1" applyBorder="1" applyAlignment="1" applyProtection="1">
      <alignment horizontal="center" vertical="center"/>
    </xf>
    <xf numFmtId="0" fontId="18" fillId="3" borderId="39" xfId="0" applyFont="1" applyFill="1" applyBorder="1" applyAlignment="1" applyProtection="1">
      <alignment horizontal="center" vertical="center"/>
    </xf>
    <xf numFmtId="0" fontId="18" fillId="3" borderId="13" xfId="0" applyFont="1" applyFill="1" applyBorder="1" applyAlignment="1" applyProtection="1">
      <alignment horizontal="center" vertical="center"/>
    </xf>
    <xf numFmtId="0" fontId="18" fillId="3" borderId="15" xfId="0" applyFont="1" applyFill="1" applyBorder="1" applyAlignment="1" applyProtection="1">
      <alignment horizontal="center" vertical="center"/>
    </xf>
    <xf numFmtId="0" fontId="18" fillId="3" borderId="14" xfId="0" applyFont="1" applyFill="1" applyBorder="1" applyAlignment="1" applyProtection="1">
      <alignment horizontal="center" vertical="center"/>
    </xf>
    <xf numFmtId="0" fontId="2" fillId="5" borderId="11" xfId="0" applyFont="1" applyFill="1" applyBorder="1" applyAlignment="1" applyProtection="1">
      <alignment horizontal="center"/>
      <protection locked="0"/>
    </xf>
    <xf numFmtId="1" fontId="2" fillId="4" borderId="10" xfId="0" applyNumberFormat="1" applyFont="1" applyFill="1" applyBorder="1" applyAlignment="1" applyProtection="1">
      <alignment horizontal="center" vertical="center"/>
      <protection locked="0"/>
    </xf>
    <xf numFmtId="1" fontId="2" fillId="4" borderId="11" xfId="0" applyNumberFormat="1" applyFont="1" applyFill="1" applyBorder="1" applyAlignment="1" applyProtection="1">
      <alignment horizontal="center" vertical="center"/>
      <protection locked="0"/>
    </xf>
    <xf numFmtId="1" fontId="2" fillId="4" borderId="79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164" fontId="2" fillId="5" borderId="11" xfId="1" applyNumberFormat="1" applyFont="1" applyFill="1" applyBorder="1" applyAlignment="1" applyProtection="1">
      <alignment horizontal="center"/>
      <protection locked="0"/>
    </xf>
    <xf numFmtId="164" fontId="2" fillId="5" borderId="12" xfId="1" applyNumberFormat="1" applyFon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80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1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1" fontId="2" fillId="4" borderId="82" xfId="0" applyNumberFormat="1" applyFont="1" applyFill="1" applyBorder="1" applyAlignment="1" applyProtection="1">
      <alignment horizontal="center" vertical="center"/>
      <protection locked="0"/>
    </xf>
    <xf numFmtId="0" fontId="49" fillId="0" borderId="68" xfId="0" applyFont="1" applyBorder="1" applyAlignment="1" applyProtection="1">
      <alignment horizontal="center" vertical="center" textRotation="90" wrapText="1"/>
    </xf>
    <xf numFmtId="0" fontId="49" fillId="0" borderId="69" xfId="0" applyFont="1" applyBorder="1" applyAlignment="1" applyProtection="1">
      <alignment horizontal="center" vertical="center" textRotation="90" wrapText="1"/>
    </xf>
    <xf numFmtId="0" fontId="49" fillId="0" borderId="70" xfId="0" applyFont="1" applyBorder="1" applyAlignment="1" applyProtection="1">
      <alignment horizontal="center" vertical="center" textRotation="90" wrapText="1"/>
    </xf>
    <xf numFmtId="0" fontId="51" fillId="3" borderId="46" xfId="0" applyFont="1" applyFill="1" applyBorder="1" applyAlignment="1" applyProtection="1">
      <alignment horizontal="center" vertical="center" wrapText="1"/>
    </xf>
    <xf numFmtId="0" fontId="51" fillId="3" borderId="47" xfId="0" applyFont="1" applyFill="1" applyBorder="1" applyAlignment="1" applyProtection="1">
      <alignment horizontal="center" vertical="center" wrapText="1"/>
    </xf>
    <xf numFmtId="0" fontId="51" fillId="3" borderId="43" xfId="0" applyFont="1" applyFill="1" applyBorder="1" applyAlignment="1" applyProtection="1">
      <alignment horizontal="center" vertical="center" wrapText="1"/>
    </xf>
    <xf numFmtId="0" fontId="51" fillId="3" borderId="6" xfId="0" applyFont="1" applyFill="1" applyBorder="1" applyAlignment="1" applyProtection="1">
      <alignment horizontal="center" vertical="center" wrapText="1"/>
    </xf>
    <xf numFmtId="49" fontId="45" fillId="3" borderId="75" xfId="0" applyNumberFormat="1" applyFont="1" applyFill="1" applyBorder="1" applyAlignment="1" applyProtection="1">
      <alignment horizontal="center"/>
    </xf>
    <xf numFmtId="49" fontId="45" fillId="3" borderId="12" xfId="0" applyNumberFormat="1" applyFont="1" applyFill="1" applyBorder="1" applyAlignment="1" applyProtection="1">
      <alignment horizontal="center"/>
    </xf>
    <xf numFmtId="49" fontId="45" fillId="3" borderId="76" xfId="0" applyNumberFormat="1" applyFont="1" applyFill="1" applyBorder="1" applyAlignment="1" applyProtection="1">
      <alignment horizontal="center"/>
    </xf>
    <xf numFmtId="49" fontId="45" fillId="3" borderId="54" xfId="0" applyNumberFormat="1" applyFont="1" applyFill="1" applyBorder="1" applyAlignment="1" applyProtection="1">
      <alignment horizontal="center"/>
    </xf>
    <xf numFmtId="0" fontId="51" fillId="3" borderId="30" xfId="0" applyFont="1" applyFill="1" applyBorder="1" applyAlignment="1" applyProtection="1">
      <alignment horizontal="center" vertical="center"/>
    </xf>
    <xf numFmtId="0" fontId="51" fillId="3" borderId="56" xfId="0" applyFont="1" applyFill="1" applyBorder="1" applyAlignment="1" applyProtection="1">
      <alignment horizontal="center" vertical="center"/>
    </xf>
    <xf numFmtId="0" fontId="50" fillId="3" borderId="32" xfId="0" applyFont="1" applyFill="1" applyBorder="1" applyAlignment="1" applyProtection="1">
      <alignment horizontal="center" vertical="center" wrapText="1"/>
    </xf>
    <xf numFmtId="0" fontId="50" fillId="3" borderId="58" xfId="0" applyFont="1" applyFill="1" applyBorder="1" applyAlignment="1" applyProtection="1">
      <alignment horizontal="center" vertical="center" wrapText="1"/>
    </xf>
    <xf numFmtId="0" fontId="50" fillId="3" borderId="34" xfId="0" applyFont="1" applyFill="1" applyBorder="1" applyAlignment="1" applyProtection="1">
      <alignment horizontal="center" vertical="center" wrapText="1"/>
    </xf>
    <xf numFmtId="0" fontId="50" fillId="3" borderId="65" xfId="0" applyFont="1" applyFill="1" applyBorder="1" applyAlignment="1" applyProtection="1">
      <alignment horizontal="center" vertical="center" wrapText="1"/>
    </xf>
    <xf numFmtId="0" fontId="46" fillId="3" borderId="16" xfId="0" applyFont="1" applyFill="1" applyBorder="1" applyAlignment="1" applyProtection="1">
      <alignment horizontal="left"/>
    </xf>
    <xf numFmtId="0" fontId="47" fillId="3" borderId="30" xfId="0" applyFont="1" applyFill="1" applyBorder="1" applyAlignment="1" applyProtection="1">
      <alignment horizontal="center" vertical="center" wrapText="1"/>
    </xf>
    <xf numFmtId="0" fontId="47" fillId="3" borderId="56" xfId="0" applyFont="1" applyFill="1" applyBorder="1" applyAlignment="1" applyProtection="1">
      <alignment horizontal="center" vertical="center" wrapText="1"/>
    </xf>
    <xf numFmtId="170" fontId="50" fillId="3" borderId="31" xfId="0" applyNumberFormat="1" applyFont="1" applyFill="1" applyBorder="1" applyAlignment="1" applyProtection="1">
      <alignment horizontal="center" vertical="center" wrapText="1"/>
    </xf>
    <xf numFmtId="170" fontId="50" fillId="3" borderId="13" xfId="0" applyNumberFormat="1" applyFont="1" applyFill="1" applyBorder="1" applyAlignment="1" applyProtection="1">
      <alignment horizontal="center" vertical="center" wrapText="1"/>
    </xf>
    <xf numFmtId="170" fontId="50" fillId="3" borderId="32" xfId="0" applyNumberFormat="1" applyFont="1" applyFill="1" applyBorder="1" applyAlignment="1" applyProtection="1">
      <alignment horizontal="center" vertical="center" wrapText="1"/>
    </xf>
    <xf numFmtId="170" fontId="50" fillId="3" borderId="58" xfId="0" applyNumberFormat="1" applyFont="1" applyFill="1" applyBorder="1" applyAlignment="1" applyProtection="1">
      <alignment horizontal="center" vertical="center" wrapText="1"/>
    </xf>
    <xf numFmtId="0" fontId="49" fillId="0" borderId="68" xfId="0" applyFont="1" applyBorder="1" applyAlignment="1" applyProtection="1">
      <alignment horizontal="center" vertical="center" textRotation="90"/>
    </xf>
    <xf numFmtId="0" fontId="49" fillId="0" borderId="69" xfId="0" applyFont="1" applyBorder="1" applyAlignment="1" applyProtection="1">
      <alignment horizontal="center" vertical="center" textRotation="90"/>
    </xf>
    <xf numFmtId="0" fontId="49" fillId="0" borderId="70" xfId="0" applyFont="1" applyBorder="1" applyAlignment="1" applyProtection="1">
      <alignment horizontal="center" vertical="center" textRotation="90"/>
    </xf>
    <xf numFmtId="0" fontId="51" fillId="3" borderId="46" xfId="0" applyFont="1" applyFill="1" applyBorder="1" applyAlignment="1" applyProtection="1">
      <alignment horizontal="center" vertical="center"/>
    </xf>
    <xf numFmtId="0" fontId="51" fillId="3" borderId="47" xfId="0" applyFont="1" applyFill="1" applyBorder="1" applyAlignment="1" applyProtection="1">
      <alignment horizontal="center" vertical="center"/>
    </xf>
    <xf numFmtId="0" fontId="51" fillId="3" borderId="43" xfId="0" applyFont="1" applyFill="1" applyBorder="1" applyAlignment="1" applyProtection="1">
      <alignment horizontal="center" vertical="center"/>
    </xf>
    <xf numFmtId="0" fontId="51" fillId="3" borderId="6" xfId="0" applyFont="1" applyFill="1" applyBorder="1" applyAlignment="1" applyProtection="1">
      <alignment horizontal="center" vertical="center"/>
    </xf>
    <xf numFmtId="0" fontId="45" fillId="3" borderId="46" xfId="0" applyFont="1" applyFill="1" applyBorder="1" applyAlignment="1" applyProtection="1">
      <alignment horizontal="center"/>
    </xf>
    <xf numFmtId="0" fontId="45" fillId="3" borderId="47" xfId="0" applyFont="1" applyFill="1" applyBorder="1" applyAlignment="1" applyProtection="1">
      <alignment horizontal="center"/>
    </xf>
    <xf numFmtId="0" fontId="45" fillId="3" borderId="43" xfId="0" applyFont="1" applyFill="1" applyBorder="1" applyAlignment="1" applyProtection="1">
      <alignment horizontal="center"/>
    </xf>
    <xf numFmtId="0" fontId="45" fillId="3" borderId="6" xfId="0" applyFont="1" applyFill="1" applyBorder="1" applyAlignment="1" applyProtection="1">
      <alignment horizontal="center"/>
    </xf>
    <xf numFmtId="0" fontId="45" fillId="6" borderId="43" xfId="0" applyFont="1" applyFill="1" applyBorder="1" applyAlignment="1" applyProtection="1">
      <alignment horizontal="center"/>
    </xf>
    <xf numFmtId="0" fontId="45" fillId="6" borderId="6" xfId="0" applyFont="1" applyFill="1" applyBorder="1" applyAlignment="1" applyProtection="1">
      <alignment horizontal="center"/>
    </xf>
    <xf numFmtId="0" fontId="45" fillId="6" borderId="51" xfId="0" applyFont="1" applyFill="1" applyBorder="1" applyAlignment="1" applyProtection="1">
      <alignment horizontal="center"/>
    </xf>
    <xf numFmtId="0" fontId="45" fillId="6" borderId="52" xfId="0" applyFont="1" applyFill="1" applyBorder="1" applyAlignment="1" applyProtection="1">
      <alignment horizontal="center"/>
    </xf>
    <xf numFmtId="0" fontId="49" fillId="0" borderId="71" xfId="0" applyFont="1" applyBorder="1" applyAlignment="1" applyProtection="1">
      <alignment horizontal="center" vertical="center" textRotation="90"/>
    </xf>
    <xf numFmtId="0" fontId="49" fillId="0" borderId="72" xfId="0" applyFont="1" applyBorder="1" applyAlignment="1" applyProtection="1">
      <alignment horizontal="center" vertical="center" textRotation="90"/>
    </xf>
    <xf numFmtId="0" fontId="49" fillId="0" borderId="73" xfId="0" applyFont="1" applyBorder="1" applyAlignment="1" applyProtection="1">
      <alignment horizontal="center" vertical="center" textRotation="90"/>
    </xf>
    <xf numFmtId="0" fontId="51" fillId="3" borderId="53" xfId="0" applyFont="1" applyFill="1" applyBorder="1" applyAlignment="1" applyProtection="1">
      <alignment horizontal="center" vertical="center"/>
    </xf>
    <xf numFmtId="0" fontId="51" fillId="3" borderId="31" xfId="0" applyFont="1" applyFill="1" applyBorder="1" applyAlignment="1" applyProtection="1">
      <alignment horizontal="center" vertical="center"/>
    </xf>
    <xf numFmtId="0" fontId="51" fillId="3" borderId="64" xfId="0" applyFont="1" applyFill="1" applyBorder="1" applyAlignment="1" applyProtection="1">
      <alignment horizontal="center" vertical="center"/>
    </xf>
    <xf numFmtId="0" fontId="51" fillId="3" borderId="13" xfId="0" applyFont="1" applyFill="1" applyBorder="1" applyAlignment="1" applyProtection="1">
      <alignment horizontal="center" vertical="center"/>
    </xf>
    <xf numFmtId="0" fontId="45" fillId="3" borderId="55" xfId="0" applyFont="1" applyFill="1" applyBorder="1" applyAlignment="1" applyProtection="1">
      <alignment horizontal="center"/>
    </xf>
    <xf numFmtId="166" fontId="45" fillId="6" borderId="41" xfId="0" applyNumberFormat="1" applyFont="1" applyFill="1" applyBorder="1" applyAlignment="1" applyProtection="1">
      <alignment horizontal="center"/>
    </xf>
    <xf numFmtId="166" fontId="45" fillId="6" borderId="4" xfId="0" applyNumberFormat="1" applyFont="1" applyFill="1" applyBorder="1" applyAlignment="1" applyProtection="1">
      <alignment horizontal="center"/>
    </xf>
    <xf numFmtId="166" fontId="45" fillId="6" borderId="51" xfId="0" applyNumberFormat="1" applyFont="1" applyFill="1" applyBorder="1" applyAlignment="1" applyProtection="1">
      <alignment horizontal="center"/>
    </xf>
    <xf numFmtId="166" fontId="45" fillId="6" borderId="52" xfId="0" applyNumberFormat="1" applyFont="1" applyFill="1" applyBorder="1" applyAlignment="1" applyProtection="1">
      <alignment horizontal="center"/>
    </xf>
    <xf numFmtId="15" fontId="39" fillId="0" borderId="0" xfId="0" quotePrefix="1" applyNumberFormat="1" applyFont="1" applyFill="1" applyAlignment="1">
      <alignment horizontal="left"/>
    </xf>
    <xf numFmtId="0" fontId="39" fillId="0" borderId="0" xfId="0" quotePrefix="1" applyNumberFormat="1" applyFont="1" applyFill="1" applyAlignment="1">
      <alignment horizontal="left"/>
    </xf>
  </cellXfs>
  <cellStyles count="94">
    <cellStyle name="Comma" xfId="1" builtinId="3"/>
    <cellStyle name="Comma 2" xfId="3"/>
    <cellStyle name="Comma 3" xfId="7"/>
    <cellStyle name="Currency 2" xfId="8"/>
    <cellStyle name="Euro" xfId="37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Hyperlink" xfId="93" builtinId="8"/>
    <cellStyle name="Normal" xfId="0" builtinId="0"/>
    <cellStyle name="Normal 2" xfId="4"/>
    <cellStyle name="Normal 3" xfId="6"/>
    <cellStyle name="Percent" xfId="2" builtinId="5"/>
    <cellStyle name="Percent 2" xfId="5"/>
    <cellStyle name="Percent 3" xfId="36"/>
  </cellStyles>
  <dxfs count="7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>
          <bgColor rgb="FFFF0000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3"/>
      </font>
      <fill>
        <patternFill>
          <bgColor rgb="FFFF99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0686626828095"/>
          <c:y val="2.7838152082904546E-2"/>
          <c:w val="0.86732466221112059"/>
          <c:h val="0.69985228725884652"/>
        </c:manualLayout>
      </c:layout>
      <c:barChart>
        <c:barDir val="col"/>
        <c:grouping val="clustered"/>
        <c:varyColors val="0"/>
        <c:ser>
          <c:idx val="6"/>
          <c:order val="3"/>
          <c:tx>
            <c:strRef>
              <c:f>'II.Profit&amp;Loss+CashFlow'!$C$31:$C$32</c:f>
              <c:strCache>
                <c:ptCount val="1"/>
                <c:pt idx="0">
                  <c:v>Free Cash Flow (FCF)</c:v>
                </c:pt>
              </c:strCache>
            </c:strRef>
          </c:tx>
          <c:invertIfNegative val="0"/>
          <c:cat>
            <c:strRef>
              <c:f>'II.Profit&amp;Loss+CashFlow'!$E$8:$Y$8</c:f>
              <c:strCache>
                <c:ptCount val="21"/>
                <c:pt idx="0">
                  <c:v>0 </c:v>
                </c:pt>
                <c:pt idx="1">
                  <c:v>1 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</c:strCache>
            </c:strRef>
          </c:cat>
          <c:val>
            <c:numRef>
              <c:f>'II.Profit&amp;Loss+CashFlow'!$E$31:$Y$31</c:f>
              <c:numCache>
                <c:formatCode>#,##0_ ;[Red]\-#,##0\ </c:formatCode>
                <c:ptCount val="21"/>
                <c:pt idx="0">
                  <c:v>-463953.48837209318</c:v>
                </c:pt>
                <c:pt idx="1">
                  <c:v>-436046.51162790693</c:v>
                </c:pt>
                <c:pt idx="2">
                  <c:v>-300000</c:v>
                </c:pt>
                <c:pt idx="3">
                  <c:v>-98500</c:v>
                </c:pt>
                <c:pt idx="4">
                  <c:v>49316</c:v>
                </c:pt>
                <c:pt idx="5">
                  <c:v>355807.88800000004</c:v>
                </c:pt>
                <c:pt idx="6">
                  <c:v>601872.29718400002</c:v>
                </c:pt>
                <c:pt idx="7">
                  <c:v>981627.98255891213</c:v>
                </c:pt>
                <c:pt idx="8">
                  <c:v>1485432.0005122814</c:v>
                </c:pt>
                <c:pt idx="9">
                  <c:v>2192930.6600315864</c:v>
                </c:pt>
                <c:pt idx="10">
                  <c:v>2884189.4244129062</c:v>
                </c:pt>
                <c:pt idx="11">
                  <c:v>3512665.44921974</c:v>
                </c:pt>
                <c:pt idx="12">
                  <c:v>4008515.8942332473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2-4B91-9FE1-4E4B7A6AD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3084880"/>
        <c:axId val="1673086928"/>
      </c:barChart>
      <c:lineChart>
        <c:grouping val="standard"/>
        <c:varyColors val="0"/>
        <c:ser>
          <c:idx val="0"/>
          <c:order val="0"/>
          <c:tx>
            <c:strRef>
              <c:f>'II.Profit&amp;Loss+CashFlow'!$C$33:$C$34</c:f>
              <c:strCache>
                <c:ptCount val="1"/>
                <c:pt idx="0">
                  <c:v>Cumulative Cash Flow (CCF)</c:v>
                </c:pt>
              </c:strCache>
            </c:strRef>
          </c:tx>
          <c:marker>
            <c:symbol val="none"/>
          </c:marker>
          <c:cat>
            <c:strRef>
              <c:f>'II.Profit&amp;Loss+CashFlow'!$E$8:$Y$8</c:f>
              <c:strCache>
                <c:ptCount val="21"/>
                <c:pt idx="0">
                  <c:v>0 </c:v>
                </c:pt>
                <c:pt idx="1">
                  <c:v>1 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</c:strCache>
            </c:strRef>
          </c:cat>
          <c:val>
            <c:numRef>
              <c:f>'II.Profit&amp;Loss+CashFlow'!$E$33:$Y$33</c:f>
              <c:numCache>
                <c:formatCode>#,##0_ ;[Red]\-#,##0\ </c:formatCode>
                <c:ptCount val="21"/>
                <c:pt idx="0">
                  <c:v>-463953.48837209318</c:v>
                </c:pt>
                <c:pt idx="1">
                  <c:v>-900000.00000000012</c:v>
                </c:pt>
                <c:pt idx="2">
                  <c:v>-1200000</c:v>
                </c:pt>
                <c:pt idx="3">
                  <c:v>-1298500</c:v>
                </c:pt>
                <c:pt idx="4">
                  <c:v>-1249184</c:v>
                </c:pt>
                <c:pt idx="5">
                  <c:v>-893376.11199999996</c:v>
                </c:pt>
                <c:pt idx="6">
                  <c:v>-291503.81481599994</c:v>
                </c:pt>
                <c:pt idx="7">
                  <c:v>690124.16774291219</c:v>
                </c:pt>
                <c:pt idx="8">
                  <c:v>2175556.1682551936</c:v>
                </c:pt>
                <c:pt idx="9">
                  <c:v>4368486.82828678</c:v>
                </c:pt>
                <c:pt idx="10">
                  <c:v>7252676.2526996862</c:v>
                </c:pt>
                <c:pt idx="11">
                  <c:v>10765341.701919425</c:v>
                </c:pt>
                <c:pt idx="12">
                  <c:v>14773857.596152673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92-4B91-9FE1-4E4B7A6ADCDB}"/>
            </c:ext>
          </c:extLst>
        </c:ser>
        <c:ser>
          <c:idx val="3"/>
          <c:order val="1"/>
          <c:tx>
            <c:strRef>
              <c:f>'II.Profit&amp;Loss+CashFlow'!$C$21:$C$22</c:f>
              <c:strCache>
                <c:ptCount val="1"/>
                <c:pt idx="0">
                  <c:v>Total Expenses</c:v>
                </c:pt>
              </c:strCache>
            </c:strRef>
          </c:tx>
          <c:marker>
            <c:symbol val="none"/>
          </c:marker>
          <c:cat>
            <c:strRef>
              <c:f>'II.Profit&amp;Loss+CashFlow'!$E$8:$Y$8</c:f>
              <c:strCache>
                <c:ptCount val="21"/>
                <c:pt idx="0">
                  <c:v>0 </c:v>
                </c:pt>
                <c:pt idx="1">
                  <c:v>1 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</c:strCache>
            </c:strRef>
          </c:cat>
          <c:val>
            <c:numRef>
              <c:f>'II.Profit&amp;Loss+CashFlow'!$E$21:$Y$21</c:f>
              <c:numCache>
                <c:formatCode>#,##0_ ;[Red]\-#,##0\ </c:formatCode>
                <c:ptCount val="21"/>
                <c:pt idx="0">
                  <c:v>463953.48837209318</c:v>
                </c:pt>
                <c:pt idx="1">
                  <c:v>436046.51162790693</c:v>
                </c:pt>
                <c:pt idx="2">
                  <c:v>300000</c:v>
                </c:pt>
                <c:pt idx="3">
                  <c:v>125000</c:v>
                </c:pt>
                <c:pt idx="4">
                  <c:v>263000</c:v>
                </c:pt>
                <c:pt idx="5">
                  <c:v>422120</c:v>
                </c:pt>
                <c:pt idx="6">
                  <c:v>475198.63999999996</c:v>
                </c:pt>
                <c:pt idx="7">
                  <c:v>612094.47200000007</c:v>
                </c:pt>
                <c:pt idx="8">
                  <c:v>787448.48192000005</c:v>
                </c:pt>
                <c:pt idx="9">
                  <c:v>1054083.9958927999</c:v>
                </c:pt>
                <c:pt idx="10">
                  <c:v>1158817.1008843519</c:v>
                </c:pt>
                <c:pt idx="11">
                  <c:v>1179493.442902039</c:v>
                </c:pt>
                <c:pt idx="12">
                  <c:v>1110951.3691134064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92-4B91-9FE1-4E4B7A6ADCDB}"/>
            </c:ext>
          </c:extLst>
        </c:ser>
        <c:ser>
          <c:idx val="5"/>
          <c:order val="2"/>
          <c:tx>
            <c:strRef>
              <c:f>'II.Profit&amp;Loss+CashFlow'!$C$12</c:f>
              <c:strCache>
                <c:ptCount val="1"/>
                <c:pt idx="0">
                  <c:v>Total Revenue</c:v>
                </c:pt>
              </c:strCache>
            </c:strRef>
          </c:tx>
          <c:marker>
            <c:symbol val="none"/>
          </c:marker>
          <c:cat>
            <c:strRef>
              <c:f>'II.Profit&amp;Loss+CashFlow'!$E$8:$Y$8</c:f>
              <c:strCache>
                <c:ptCount val="21"/>
                <c:pt idx="0">
                  <c:v>0 </c:v>
                </c:pt>
                <c:pt idx="1">
                  <c:v>1 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</c:strCache>
            </c:strRef>
          </c:cat>
          <c:val>
            <c:numRef>
              <c:f>'II.Profit&amp;Loss+CashFlow'!$E$12:$Y$12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31500</c:v>
                </c:pt>
                <c:pt idx="4">
                  <c:v>332316</c:v>
                </c:pt>
                <c:pt idx="5">
                  <c:v>777927.88800000004</c:v>
                </c:pt>
                <c:pt idx="6">
                  <c:v>1077070.9371839999</c:v>
                </c:pt>
                <c:pt idx="7">
                  <c:v>1593722.4545589122</c:v>
                </c:pt>
                <c:pt idx="8">
                  <c:v>2272880.4824322816</c:v>
                </c:pt>
                <c:pt idx="9">
                  <c:v>3247014.6559243863</c:v>
                </c:pt>
                <c:pt idx="10">
                  <c:v>4043006.525297258</c:v>
                </c:pt>
                <c:pt idx="11">
                  <c:v>4692158.8921217788</c:v>
                </c:pt>
                <c:pt idx="12">
                  <c:v>5119467.2633466534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92-4B91-9FE1-4E4B7A6ADCDB}"/>
            </c:ext>
          </c:extLst>
        </c:ser>
        <c:ser>
          <c:idx val="1"/>
          <c:order val="4"/>
          <c:tx>
            <c:strRef>
              <c:f>'II.Profit&amp;Loss+CashFlow'!$C$35:$C$36</c:f>
              <c:strCache>
                <c:ptCount val="1"/>
                <c:pt idx="0">
                  <c:v>Discounted Cash Flow (DCF)</c:v>
                </c:pt>
              </c:strCache>
            </c:strRef>
          </c:tx>
          <c:marker>
            <c:symbol val="none"/>
          </c:marker>
          <c:cat>
            <c:strRef>
              <c:f>'II.Profit&amp;Loss+CashFlow'!$E$8:$Y$8</c:f>
              <c:strCache>
                <c:ptCount val="21"/>
                <c:pt idx="0">
                  <c:v>0 </c:v>
                </c:pt>
                <c:pt idx="1">
                  <c:v>1 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</c:strCache>
            </c:strRef>
          </c:cat>
          <c:val>
            <c:numRef>
              <c:f>'II.Profit&amp;Loss+CashFlow'!$E$35:$Y$35</c:f>
              <c:numCache>
                <c:formatCode>#,##0_ ;[Red]\-#,##0\ </c:formatCode>
                <c:ptCount val="21"/>
                <c:pt idx="0">
                  <c:v>-463953.48837209318</c:v>
                </c:pt>
                <c:pt idx="1">
                  <c:v>-396405.91966173355</c:v>
                </c:pt>
                <c:pt idx="2">
                  <c:v>-247933.88429752062</c:v>
                </c:pt>
                <c:pt idx="3">
                  <c:v>-74004.507888805383</c:v>
                </c:pt>
                <c:pt idx="4">
                  <c:v>33683.491564783821</c:v>
                </c:pt>
                <c:pt idx="5">
                  <c:v>220928.70457184364</c:v>
                </c:pt>
                <c:pt idx="6">
                  <c:v>339741.22098194744</c:v>
                </c:pt>
                <c:pt idx="7">
                  <c:v>503730.36833253608</c:v>
                </c:pt>
                <c:pt idx="8">
                  <c:v>692964.99103868741</c:v>
                </c:pt>
                <c:pt idx="9">
                  <c:v>930016.6701753966</c:v>
                </c:pt>
                <c:pt idx="10">
                  <c:v>1111979.8780260189</c:v>
                </c:pt>
                <c:pt idx="11">
                  <c:v>1231167.8108705829</c:v>
                </c:pt>
                <c:pt idx="12">
                  <c:v>1277236.6971845008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92-4B91-9FE1-4E4B7A6AD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084880"/>
        <c:axId val="1673086928"/>
      </c:lineChart>
      <c:catAx>
        <c:axId val="167308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673086928"/>
        <c:crosses val="autoZero"/>
        <c:auto val="1"/>
        <c:lblAlgn val="ctr"/>
        <c:lblOffset val="100"/>
        <c:tickLblSkip val="1"/>
        <c:noMultiLvlLbl val="0"/>
      </c:catAx>
      <c:valAx>
        <c:axId val="1673086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_ ;[Red]\-#,##0\ 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6730848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403777647724174"/>
          <c:y val="0.76073905322077029"/>
          <c:w val="0.56681558308803937"/>
          <c:h val="0.17741245486294821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06814974992"/>
          <c:y val="2.1723586132356799E-2"/>
          <c:w val="0.87738831149631247"/>
          <c:h val="0.71191379691996337"/>
        </c:manualLayout>
      </c:layout>
      <c:barChart>
        <c:barDir val="col"/>
        <c:grouping val="clustered"/>
        <c:varyColors val="0"/>
        <c:ser>
          <c:idx val="6"/>
          <c:order val="3"/>
          <c:tx>
            <c:strRef>
              <c:f>'II.Profit&amp;Loss+CashFlow'!$C$31:$C$32</c:f>
              <c:strCache>
                <c:ptCount val="1"/>
                <c:pt idx="0">
                  <c:v>Free Cash Flow (FCF)</c:v>
                </c:pt>
              </c:strCache>
            </c:strRef>
          </c:tx>
          <c:invertIfNegative val="0"/>
          <c:cat>
            <c:strRef>
              <c:f>'II.Profit&amp;Loss+CashFlow'!$E$8:$Y$8</c:f>
              <c:strCache>
                <c:ptCount val="21"/>
                <c:pt idx="0">
                  <c:v>0 </c:v>
                </c:pt>
                <c:pt idx="1">
                  <c:v>1 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</c:strCache>
            </c:strRef>
          </c:cat>
          <c:val>
            <c:numRef>
              <c:f>'II.Profit&amp;Loss+CashFlow'!$E$32:$Y$32</c:f>
              <c:numCache>
                <c:formatCode>#,##0_ ;[Red]\-#,##0\ </c:formatCode>
                <c:ptCount val="21"/>
                <c:pt idx="0">
                  <c:v>-1355813.9534883723</c:v>
                </c:pt>
                <c:pt idx="1">
                  <c:v>-944186.04651162785</c:v>
                </c:pt>
                <c:pt idx="2">
                  <c:v>-600000</c:v>
                </c:pt>
                <c:pt idx="3">
                  <c:v>-98500</c:v>
                </c:pt>
                <c:pt idx="4">
                  <c:v>49316</c:v>
                </c:pt>
                <c:pt idx="5">
                  <c:v>355807.88800000004</c:v>
                </c:pt>
                <c:pt idx="6">
                  <c:v>601872.29718400002</c:v>
                </c:pt>
                <c:pt idx="7">
                  <c:v>981627.98255891213</c:v>
                </c:pt>
                <c:pt idx="8">
                  <c:v>1485432.0005122814</c:v>
                </c:pt>
                <c:pt idx="9">
                  <c:v>2192930.6600315864</c:v>
                </c:pt>
                <c:pt idx="10">
                  <c:v>2884189.4244129062</c:v>
                </c:pt>
                <c:pt idx="11">
                  <c:v>3512665.44921974</c:v>
                </c:pt>
                <c:pt idx="12">
                  <c:v>4008515.8942332473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D-4F40-96E2-D25AD417E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3084880"/>
        <c:axId val="1673086928"/>
      </c:barChart>
      <c:lineChart>
        <c:grouping val="standard"/>
        <c:varyColors val="0"/>
        <c:ser>
          <c:idx val="0"/>
          <c:order val="0"/>
          <c:tx>
            <c:strRef>
              <c:f>'II.Profit&amp;Loss+CashFlow'!$C$33:$C$34</c:f>
              <c:strCache>
                <c:ptCount val="1"/>
                <c:pt idx="0">
                  <c:v>Cumulative Cash Flow (CCF)</c:v>
                </c:pt>
              </c:strCache>
            </c:strRef>
          </c:tx>
          <c:marker>
            <c:symbol val="none"/>
          </c:marker>
          <c:cat>
            <c:strRef>
              <c:f>'II.Profit&amp;Loss+CashFlow'!$E$8:$Y$8</c:f>
              <c:strCache>
                <c:ptCount val="21"/>
                <c:pt idx="0">
                  <c:v>0 </c:v>
                </c:pt>
                <c:pt idx="1">
                  <c:v>1 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</c:strCache>
            </c:strRef>
          </c:cat>
          <c:val>
            <c:numRef>
              <c:f>'II.Profit&amp;Loss+CashFlow'!$E$34:$Y$34</c:f>
              <c:numCache>
                <c:formatCode>#,##0_ ;[Red]\-#,##0\ </c:formatCode>
                <c:ptCount val="21"/>
                <c:pt idx="0">
                  <c:v>-1355813.9534883723</c:v>
                </c:pt>
                <c:pt idx="1">
                  <c:v>-2300000</c:v>
                </c:pt>
                <c:pt idx="2">
                  <c:v>-2900000</c:v>
                </c:pt>
                <c:pt idx="3">
                  <c:v>-2998500</c:v>
                </c:pt>
                <c:pt idx="4">
                  <c:v>-2949184</c:v>
                </c:pt>
                <c:pt idx="5">
                  <c:v>-2593376.1119999997</c:v>
                </c:pt>
                <c:pt idx="6">
                  <c:v>-1991503.8148159997</c:v>
                </c:pt>
                <c:pt idx="7">
                  <c:v>-1009875.8322570876</c:v>
                </c:pt>
                <c:pt idx="8">
                  <c:v>475556.16825519386</c:v>
                </c:pt>
                <c:pt idx="9">
                  <c:v>2668486.82828678</c:v>
                </c:pt>
                <c:pt idx="10">
                  <c:v>5552676.2526996862</c:v>
                </c:pt>
                <c:pt idx="11">
                  <c:v>9065341.7019194253</c:v>
                </c:pt>
                <c:pt idx="12">
                  <c:v>13073857.596152673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AD-4F40-96E2-D25AD417EB9E}"/>
            </c:ext>
          </c:extLst>
        </c:ser>
        <c:ser>
          <c:idx val="3"/>
          <c:order val="1"/>
          <c:tx>
            <c:strRef>
              <c:f>'II.Profit&amp;Loss+CashFlow'!$C$21:$C$22</c:f>
              <c:strCache>
                <c:ptCount val="1"/>
                <c:pt idx="0">
                  <c:v>Total Expenses</c:v>
                </c:pt>
              </c:strCache>
            </c:strRef>
          </c:tx>
          <c:marker>
            <c:symbol val="none"/>
          </c:marker>
          <c:cat>
            <c:strRef>
              <c:f>'II.Profit&amp;Loss+CashFlow'!$E$8:$Y$8</c:f>
              <c:strCache>
                <c:ptCount val="21"/>
                <c:pt idx="0">
                  <c:v>0 </c:v>
                </c:pt>
                <c:pt idx="1">
                  <c:v>1 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</c:strCache>
            </c:strRef>
          </c:cat>
          <c:val>
            <c:numRef>
              <c:f>'II.Profit&amp;Loss+CashFlow'!$E$22:$Y$22</c:f>
              <c:numCache>
                <c:formatCode>#,##0_ ;[Red]\-#,##0\ </c:formatCode>
                <c:ptCount val="21"/>
                <c:pt idx="0">
                  <c:v>1355813.9534883723</c:v>
                </c:pt>
                <c:pt idx="1">
                  <c:v>944186.04651162785</c:v>
                </c:pt>
                <c:pt idx="2">
                  <c:v>600000</c:v>
                </c:pt>
                <c:pt idx="3">
                  <c:v>125000</c:v>
                </c:pt>
                <c:pt idx="4">
                  <c:v>263000</c:v>
                </c:pt>
                <c:pt idx="5">
                  <c:v>422120</c:v>
                </c:pt>
                <c:pt idx="6">
                  <c:v>475198.63999999996</c:v>
                </c:pt>
                <c:pt idx="7">
                  <c:v>612094.47200000007</c:v>
                </c:pt>
                <c:pt idx="8">
                  <c:v>787448.48192000005</c:v>
                </c:pt>
                <c:pt idx="9">
                  <c:v>1054083.9958927999</c:v>
                </c:pt>
                <c:pt idx="10">
                  <c:v>1158817.1008843519</c:v>
                </c:pt>
                <c:pt idx="11">
                  <c:v>1179493.442902039</c:v>
                </c:pt>
                <c:pt idx="12">
                  <c:v>1110951.3691134064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AD-4F40-96E2-D25AD417EB9E}"/>
            </c:ext>
          </c:extLst>
        </c:ser>
        <c:ser>
          <c:idx val="5"/>
          <c:order val="2"/>
          <c:tx>
            <c:strRef>
              <c:f>'II.Profit&amp;Loss+CashFlow'!$C$12</c:f>
              <c:strCache>
                <c:ptCount val="1"/>
                <c:pt idx="0">
                  <c:v>Total Revenue</c:v>
                </c:pt>
              </c:strCache>
            </c:strRef>
          </c:tx>
          <c:marker>
            <c:symbol val="none"/>
          </c:marker>
          <c:cat>
            <c:strRef>
              <c:f>'II.Profit&amp;Loss+CashFlow'!$E$8:$Y$8</c:f>
              <c:strCache>
                <c:ptCount val="21"/>
                <c:pt idx="0">
                  <c:v>0 </c:v>
                </c:pt>
                <c:pt idx="1">
                  <c:v>1 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</c:strCache>
            </c:strRef>
          </c:cat>
          <c:val>
            <c:numRef>
              <c:f>'II.Profit&amp;Loss+CashFlow'!$E$12:$Y$12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31500</c:v>
                </c:pt>
                <c:pt idx="4">
                  <c:v>332316</c:v>
                </c:pt>
                <c:pt idx="5">
                  <c:v>777927.88800000004</c:v>
                </c:pt>
                <c:pt idx="6">
                  <c:v>1077070.9371839999</c:v>
                </c:pt>
                <c:pt idx="7">
                  <c:v>1593722.4545589122</c:v>
                </c:pt>
                <c:pt idx="8">
                  <c:v>2272880.4824322816</c:v>
                </c:pt>
                <c:pt idx="9">
                  <c:v>3247014.6559243863</c:v>
                </c:pt>
                <c:pt idx="10">
                  <c:v>4043006.525297258</c:v>
                </c:pt>
                <c:pt idx="11">
                  <c:v>4692158.8921217788</c:v>
                </c:pt>
                <c:pt idx="12">
                  <c:v>5119467.2633466534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AD-4F40-96E2-D25AD417EB9E}"/>
            </c:ext>
          </c:extLst>
        </c:ser>
        <c:ser>
          <c:idx val="1"/>
          <c:order val="4"/>
          <c:tx>
            <c:strRef>
              <c:f>'II.Profit&amp;Loss+CashFlow'!$C$35:$C$36</c:f>
              <c:strCache>
                <c:ptCount val="1"/>
                <c:pt idx="0">
                  <c:v>Discounted Cash Flow (DCF)</c:v>
                </c:pt>
              </c:strCache>
            </c:strRef>
          </c:tx>
          <c:marker>
            <c:symbol val="none"/>
          </c:marker>
          <c:cat>
            <c:strRef>
              <c:f>'II.Profit&amp;Loss+CashFlow'!$E$8:$Y$8</c:f>
              <c:strCache>
                <c:ptCount val="21"/>
                <c:pt idx="0">
                  <c:v>0 </c:v>
                </c:pt>
                <c:pt idx="1">
                  <c:v>1 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</c:strCache>
            </c:strRef>
          </c:cat>
          <c:val>
            <c:numRef>
              <c:f>'II.Profit&amp;Loss+CashFlow'!$E$36:$Y$36</c:f>
              <c:numCache>
                <c:formatCode>#,##0_ ;[Red]\-#,##0\ </c:formatCode>
                <c:ptCount val="21"/>
                <c:pt idx="0">
                  <c:v>-1355813.9534883723</c:v>
                </c:pt>
                <c:pt idx="1">
                  <c:v>-858350.95137420704</c:v>
                </c:pt>
                <c:pt idx="2">
                  <c:v>-495867.76859504124</c:v>
                </c:pt>
                <c:pt idx="3">
                  <c:v>-74004.507888805383</c:v>
                </c:pt>
                <c:pt idx="4">
                  <c:v>33683.491564783821</c:v>
                </c:pt>
                <c:pt idx="5">
                  <c:v>220928.70457184364</c:v>
                </c:pt>
                <c:pt idx="6">
                  <c:v>339741.22098194744</c:v>
                </c:pt>
                <c:pt idx="7">
                  <c:v>503730.36833253608</c:v>
                </c:pt>
                <c:pt idx="8">
                  <c:v>692964.99103868741</c:v>
                </c:pt>
                <c:pt idx="9">
                  <c:v>930016.6701753966</c:v>
                </c:pt>
                <c:pt idx="10">
                  <c:v>1111979.8780260189</c:v>
                </c:pt>
                <c:pt idx="11">
                  <c:v>1231167.8108705829</c:v>
                </c:pt>
                <c:pt idx="12">
                  <c:v>1277236.6971845008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AD-4F40-96E2-D25AD417E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084880"/>
        <c:axId val="1673086928"/>
      </c:lineChart>
      <c:catAx>
        <c:axId val="167308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673086928"/>
        <c:crosses val="autoZero"/>
        <c:auto val="1"/>
        <c:lblAlgn val="ctr"/>
        <c:lblOffset val="100"/>
        <c:tickLblSkip val="1"/>
        <c:noMultiLvlLbl val="0"/>
      </c:catAx>
      <c:valAx>
        <c:axId val="1673086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_ ;[Red]\-#,##0\ 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6730848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228450581844165"/>
          <c:y val="0.76477468930841475"/>
          <c:w val="0.5618452865705269"/>
          <c:h val="0.1785995500562429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320675</xdr:colOff>
      <xdr:row>1</xdr:row>
      <xdr:rowOff>22225</xdr:rowOff>
    </xdr:from>
    <xdr:to>
      <xdr:col>11</xdr:col>
      <xdr:colOff>586052</xdr:colOff>
      <xdr:row>6</xdr:row>
      <xdr:rowOff>30162</xdr:rowOff>
    </xdr:to>
    <xdr:pic>
      <xdr:nvPicPr>
        <xdr:cNvPr id="7" name="Picture 6" descr="ESA Dark Blu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3775" y="183092"/>
          <a:ext cx="2519627" cy="1002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30956</xdr:colOff>
      <xdr:row>38</xdr:row>
      <xdr:rowOff>44903</xdr:rowOff>
    </xdr:from>
    <xdr:to>
      <xdr:col>6</xdr:col>
      <xdr:colOff>133351</xdr:colOff>
      <xdr:row>57</xdr:row>
      <xdr:rowOff>85724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828675</xdr:colOff>
      <xdr:row>38</xdr:row>
      <xdr:rowOff>0</xdr:rowOff>
    </xdr:from>
    <xdr:to>
      <xdr:col>15</xdr:col>
      <xdr:colOff>76200</xdr:colOff>
      <xdr:row>57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ele%20Castorina/Documents/ESA/Technical%20Material/Business%20Model-Two%20Way%20Satellite%20Market%20Tool%20EuroConsult%20Files/Two-Way%20Satellite%20Market%20Survey%20-%20Feature%20Evaluation%20Tool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assumptions"/>
      <sheetName val="segments"/>
      <sheetName val="features"/>
      <sheetName val="subscribers"/>
      <sheetName val="OPEX"/>
      <sheetName val="CAPEX"/>
      <sheetName val="income statement"/>
      <sheetName val="graphical 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sr.esa.int/license/esa-software-community-license-type-3-v1-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</sheetPr>
  <dimension ref="A1:R42"/>
  <sheetViews>
    <sheetView tabSelected="1" workbookViewId="0"/>
  </sheetViews>
  <sheetFormatPr defaultColWidth="8.85546875" defaultRowHeight="12.75" x14ac:dyDescent="0.2"/>
  <cols>
    <col min="1" max="1" width="3.28515625" style="11" customWidth="1"/>
    <col min="2" max="2" width="3.7109375" style="4" customWidth="1"/>
    <col min="3" max="3" width="11.7109375" style="4" customWidth="1"/>
    <col min="4" max="4" width="5.140625" style="4" customWidth="1"/>
    <col min="5" max="5" width="8.85546875" style="4"/>
    <col min="6" max="6" width="10.7109375" style="4" customWidth="1"/>
    <col min="7" max="8" width="8.85546875" style="4"/>
    <col min="9" max="9" width="11.85546875" style="4" customWidth="1"/>
    <col min="10" max="10" width="10.28515625" style="4" customWidth="1"/>
    <col min="11" max="16384" width="8.85546875" style="4"/>
  </cols>
  <sheetData>
    <row r="1" spans="1:18" x14ac:dyDescent="0.2">
      <c r="A1" s="72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8" ht="27.75" x14ac:dyDescent="0.4">
      <c r="A2" s="73"/>
      <c r="B2" s="62"/>
      <c r="C2" s="74" t="s">
        <v>5</v>
      </c>
      <c r="D2" s="62"/>
      <c r="E2" s="62"/>
      <c r="F2" s="62"/>
      <c r="G2" s="62"/>
      <c r="H2" s="62"/>
      <c r="I2" s="62"/>
      <c r="J2" s="62"/>
      <c r="K2" s="62"/>
      <c r="L2" s="62"/>
      <c r="M2" s="5"/>
      <c r="N2" s="5"/>
      <c r="O2" s="5"/>
      <c r="P2" s="5"/>
    </row>
    <row r="3" spans="1:18" x14ac:dyDescent="0.2">
      <c r="A3" s="73"/>
      <c r="B3" s="62"/>
      <c r="C3" s="62"/>
      <c r="D3" s="62"/>
      <c r="E3" s="62"/>
      <c r="F3" s="62"/>
      <c r="G3" s="62"/>
      <c r="H3" s="62"/>
      <c r="I3" s="62"/>
      <c r="J3" s="62"/>
      <c r="K3" s="64"/>
      <c r="L3" s="62"/>
      <c r="M3" s="5"/>
      <c r="N3" s="5"/>
      <c r="O3" s="5"/>
      <c r="P3" s="5"/>
    </row>
    <row r="4" spans="1:18" x14ac:dyDescent="0.2">
      <c r="A4" s="73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5"/>
      <c r="N4" s="5"/>
      <c r="O4" s="5"/>
      <c r="P4" s="5"/>
      <c r="R4"/>
    </row>
    <row r="5" spans="1:18" x14ac:dyDescent="0.2">
      <c r="A5" s="73"/>
      <c r="B5" s="62"/>
      <c r="C5" s="62" t="s">
        <v>18</v>
      </c>
      <c r="D5" s="62"/>
      <c r="E5" s="62"/>
      <c r="F5" s="62"/>
      <c r="G5" s="62"/>
      <c r="H5" s="62"/>
      <c r="I5" s="62"/>
      <c r="J5" s="75"/>
      <c r="K5" s="62"/>
      <c r="L5" s="62"/>
      <c r="M5" s="5"/>
      <c r="N5" s="5"/>
      <c r="O5" s="5"/>
      <c r="P5" s="5"/>
    </row>
    <row r="6" spans="1:18" x14ac:dyDescent="0.2">
      <c r="A6" s="73"/>
      <c r="B6" s="62"/>
      <c r="C6" s="62" t="s">
        <v>132</v>
      </c>
      <c r="D6" s="62"/>
      <c r="E6" s="62"/>
      <c r="F6" s="62"/>
      <c r="G6" s="62"/>
      <c r="H6" s="62"/>
      <c r="I6" s="62"/>
      <c r="J6" s="75"/>
      <c r="K6" s="62"/>
      <c r="L6" s="62"/>
      <c r="M6" s="5"/>
      <c r="N6" s="5"/>
      <c r="O6" s="5"/>
      <c r="P6" s="5"/>
    </row>
    <row r="7" spans="1:18" x14ac:dyDescent="0.2">
      <c r="A7" s="73"/>
      <c r="B7" s="62"/>
      <c r="C7" s="62"/>
      <c r="D7" s="62"/>
      <c r="E7" s="62"/>
      <c r="F7" s="62"/>
      <c r="G7" s="62"/>
      <c r="H7" s="64"/>
      <c r="I7" s="62"/>
      <c r="J7" s="75"/>
      <c r="K7" s="62"/>
      <c r="L7" s="62"/>
      <c r="M7" s="5"/>
      <c r="N7" s="5"/>
      <c r="O7" s="5"/>
      <c r="P7" s="5"/>
    </row>
    <row r="8" spans="1:18" x14ac:dyDescent="0.2">
      <c r="A8" s="73"/>
      <c r="B8" s="62"/>
      <c r="C8" s="62" t="s">
        <v>89</v>
      </c>
      <c r="D8" s="62"/>
      <c r="E8" s="62"/>
      <c r="F8" s="62"/>
      <c r="G8" s="62"/>
      <c r="H8" s="62"/>
      <c r="I8" s="62"/>
      <c r="J8" s="62"/>
      <c r="K8" s="62"/>
      <c r="L8" s="62"/>
      <c r="M8" s="5"/>
      <c r="N8" s="5"/>
      <c r="O8" s="5"/>
      <c r="P8" s="5"/>
    </row>
    <row r="9" spans="1:18" x14ac:dyDescent="0.2">
      <c r="A9" s="73"/>
      <c r="B9" s="62"/>
      <c r="C9" s="62" t="s">
        <v>91</v>
      </c>
      <c r="D9" s="62"/>
      <c r="E9" s="62"/>
      <c r="F9" s="62"/>
      <c r="G9" s="62"/>
      <c r="H9" s="62"/>
      <c r="I9" s="62"/>
      <c r="J9" s="62"/>
      <c r="K9" s="62"/>
      <c r="L9" s="62"/>
      <c r="M9" s="5"/>
      <c r="N9" s="5"/>
      <c r="O9" s="5"/>
      <c r="P9" s="5"/>
    </row>
    <row r="10" spans="1:18" x14ac:dyDescent="0.2">
      <c r="A10" s="73"/>
      <c r="B10" s="62"/>
      <c r="C10" s="62" t="s">
        <v>90</v>
      </c>
      <c r="D10" s="62"/>
      <c r="E10" s="62"/>
      <c r="F10" s="62"/>
      <c r="G10" s="62"/>
      <c r="H10" s="62"/>
      <c r="I10" s="62"/>
      <c r="J10" s="62"/>
      <c r="K10" s="62"/>
      <c r="L10" s="62"/>
      <c r="M10" s="5"/>
      <c r="N10" s="5"/>
      <c r="O10" s="5"/>
      <c r="P10" s="5"/>
    </row>
    <row r="11" spans="1:18" x14ac:dyDescent="0.2">
      <c r="A11" s="76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5"/>
      <c r="N11" s="5"/>
      <c r="O11" s="5"/>
      <c r="P11" s="5"/>
    </row>
    <row r="12" spans="1:18" ht="15.75" x14ac:dyDescent="0.25">
      <c r="A12" s="73"/>
      <c r="B12" s="62"/>
      <c r="C12" s="77" t="s">
        <v>136</v>
      </c>
      <c r="D12" s="62"/>
      <c r="E12" s="62"/>
      <c r="F12" s="62"/>
      <c r="G12" s="62"/>
      <c r="H12" s="62"/>
      <c r="I12" s="62"/>
      <c r="J12" s="62"/>
      <c r="K12" s="62"/>
      <c r="L12" s="62"/>
      <c r="M12" s="5"/>
      <c r="N12" s="5"/>
      <c r="O12" s="5"/>
      <c r="P12" s="5"/>
    </row>
    <row r="13" spans="1:18" ht="15" x14ac:dyDescent="0.25">
      <c r="A13" s="73"/>
      <c r="B13" s="62"/>
      <c r="C13" s="608">
        <v>43979</v>
      </c>
      <c r="D13" s="609"/>
      <c r="E13" s="62"/>
      <c r="F13" s="62"/>
      <c r="G13" s="62"/>
      <c r="H13" s="62"/>
      <c r="I13" s="62"/>
      <c r="J13" s="62"/>
      <c r="K13" s="62"/>
      <c r="L13" s="62"/>
      <c r="M13" s="5"/>
      <c r="N13" s="5"/>
      <c r="O13" s="5"/>
      <c r="P13" s="5"/>
    </row>
    <row r="14" spans="1:18" ht="16.5" thickBot="1" x14ac:dyDescent="0.3">
      <c r="A14" s="62"/>
      <c r="B14" s="62"/>
      <c r="C14" s="77"/>
      <c r="D14" s="29"/>
      <c r="E14" s="29"/>
      <c r="F14" s="29"/>
      <c r="G14" s="29"/>
      <c r="H14" s="29"/>
      <c r="I14" s="29"/>
      <c r="J14" s="62"/>
      <c r="K14" s="62"/>
      <c r="L14" s="62"/>
      <c r="M14" s="5"/>
      <c r="N14" s="5"/>
      <c r="O14" s="5"/>
      <c r="P14" s="5"/>
    </row>
    <row r="15" spans="1:18" ht="13.5" thickTop="1" x14ac:dyDescent="0.2">
      <c r="A15" s="62"/>
      <c r="B15" s="62"/>
      <c r="C15" s="78" t="s">
        <v>4</v>
      </c>
      <c r="D15" s="79"/>
      <c r="E15" s="79"/>
      <c r="F15" s="79"/>
      <c r="G15" s="79"/>
      <c r="H15" s="79"/>
      <c r="I15" s="80"/>
      <c r="J15" s="62"/>
      <c r="K15" s="62"/>
      <c r="L15" s="62"/>
      <c r="M15" s="5"/>
      <c r="N15" s="5"/>
      <c r="O15" s="5"/>
      <c r="P15" s="5"/>
    </row>
    <row r="16" spans="1:18" x14ac:dyDescent="0.2">
      <c r="A16" s="73"/>
      <c r="B16" s="62"/>
      <c r="C16" s="81" t="s">
        <v>21</v>
      </c>
      <c r="D16" s="29"/>
      <c r="E16" s="29"/>
      <c r="F16" s="29"/>
      <c r="G16" s="29"/>
      <c r="H16" s="29"/>
      <c r="I16" s="82"/>
      <c r="J16" s="62"/>
      <c r="K16" s="62"/>
      <c r="L16" s="62"/>
      <c r="M16" s="5"/>
      <c r="N16" s="5"/>
      <c r="O16" s="5"/>
      <c r="P16" s="5"/>
    </row>
    <row r="17" spans="1:16" x14ac:dyDescent="0.2">
      <c r="A17" s="73"/>
      <c r="B17" s="62"/>
      <c r="C17" s="81" t="s">
        <v>3</v>
      </c>
      <c r="D17" s="29"/>
      <c r="E17" s="29"/>
      <c r="F17" s="29"/>
      <c r="G17" s="29"/>
      <c r="H17" s="29"/>
      <c r="I17" s="82"/>
      <c r="J17" s="62"/>
      <c r="K17" s="62"/>
      <c r="L17" s="62"/>
      <c r="M17" s="5"/>
      <c r="N17" s="5"/>
      <c r="O17" s="5"/>
      <c r="P17" s="5"/>
    </row>
    <row r="18" spans="1:16" ht="13.5" thickBot="1" x14ac:dyDescent="0.25">
      <c r="A18" s="73"/>
      <c r="B18" s="62"/>
      <c r="C18" s="83" t="s">
        <v>22</v>
      </c>
      <c r="D18" s="84"/>
      <c r="E18" s="84"/>
      <c r="F18" s="84"/>
      <c r="G18" s="84"/>
      <c r="H18" s="84"/>
      <c r="I18" s="85"/>
      <c r="J18" s="62"/>
      <c r="K18" s="62"/>
      <c r="L18" s="62"/>
      <c r="M18" s="5"/>
      <c r="N18" s="5"/>
      <c r="O18" s="5"/>
      <c r="P18" s="5"/>
    </row>
    <row r="19" spans="1:16" ht="13.5" thickTop="1" x14ac:dyDescent="0.2">
      <c r="A19" s="73"/>
      <c r="B19" s="62"/>
      <c r="C19" s="29"/>
      <c r="D19" s="62"/>
      <c r="E19" s="62"/>
      <c r="F19" s="62"/>
      <c r="G19" s="62"/>
      <c r="H19" s="62"/>
      <c r="I19" s="62"/>
      <c r="J19" s="62"/>
      <c r="K19" s="62"/>
      <c r="L19" s="62"/>
      <c r="M19" s="5"/>
      <c r="N19" s="5"/>
      <c r="O19" s="5"/>
      <c r="P19" s="5"/>
    </row>
    <row r="20" spans="1:16" s="16" customFormat="1" ht="18.75" thickBot="1" x14ac:dyDescent="0.3">
      <c r="A20" s="61"/>
      <c r="B20" s="86" t="s">
        <v>80</v>
      </c>
      <c r="C20" s="87"/>
      <c r="D20" s="88"/>
      <c r="E20" s="88"/>
      <c r="F20" s="88"/>
      <c r="G20" s="88"/>
      <c r="H20" s="88"/>
      <c r="I20" s="88"/>
      <c r="J20" s="88"/>
      <c r="K20" s="89"/>
      <c r="L20" s="89"/>
    </row>
    <row r="21" spans="1:16" ht="12.75" customHeight="1" x14ac:dyDescent="0.2">
      <c r="A21" s="62"/>
      <c r="B21" s="90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5"/>
      <c r="N21" s="5"/>
      <c r="O21" s="5"/>
      <c r="P21" s="5"/>
    </row>
    <row r="22" spans="1:16" ht="12.75" customHeight="1" x14ac:dyDescent="0.25">
      <c r="A22" s="62"/>
      <c r="B22" s="62" t="s">
        <v>81</v>
      </c>
      <c r="C22" s="91"/>
      <c r="D22" s="62"/>
      <c r="E22" s="62"/>
      <c r="F22" s="62"/>
      <c r="G22" s="62"/>
      <c r="H22" s="62"/>
      <c r="I22" s="62"/>
      <c r="J22" s="62"/>
      <c r="K22" s="62"/>
      <c r="L22" s="62"/>
      <c r="M22" s="5"/>
      <c r="N22" s="5"/>
      <c r="O22" s="5"/>
      <c r="P22" s="5"/>
    </row>
    <row r="23" spans="1:16" ht="12.75" customHeight="1" x14ac:dyDescent="0.2">
      <c r="A23" s="62"/>
      <c r="B23" s="62" t="s">
        <v>20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5"/>
      <c r="N23" s="5"/>
      <c r="O23" s="5"/>
      <c r="P23" s="5"/>
    </row>
    <row r="24" spans="1:16" ht="15" x14ac:dyDescent="0.25">
      <c r="A24" s="92"/>
      <c r="B24" s="65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5"/>
      <c r="N24" s="5"/>
      <c r="O24" s="5"/>
      <c r="P24" s="5"/>
    </row>
    <row r="25" spans="1:16" ht="15" x14ac:dyDescent="0.25">
      <c r="A25" s="92"/>
      <c r="B25" s="93" t="s">
        <v>67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5"/>
      <c r="N25" s="5"/>
      <c r="O25" s="5"/>
      <c r="P25" s="5"/>
    </row>
    <row r="26" spans="1:16" ht="15" x14ac:dyDescent="0.25">
      <c r="A26" s="92"/>
      <c r="B26" s="31"/>
      <c r="C26" s="62" t="s">
        <v>69</v>
      </c>
      <c r="D26" s="62"/>
      <c r="E26" s="62"/>
      <c r="F26" s="62"/>
      <c r="G26" s="62"/>
      <c r="H26" s="62"/>
      <c r="I26" s="62"/>
      <c r="J26" s="62"/>
      <c r="K26" s="62"/>
      <c r="L26" s="62"/>
      <c r="M26" s="5"/>
      <c r="N26" s="5"/>
      <c r="O26" s="5"/>
      <c r="P26" s="5"/>
    </row>
    <row r="27" spans="1:16" ht="15" x14ac:dyDescent="0.25">
      <c r="A27" s="92"/>
      <c r="B27" s="94"/>
      <c r="C27" s="62" t="s">
        <v>68</v>
      </c>
      <c r="D27" s="62"/>
      <c r="E27" s="62"/>
      <c r="F27" s="62"/>
      <c r="G27" s="62"/>
      <c r="H27" s="62"/>
      <c r="I27" s="62"/>
      <c r="J27" s="62"/>
      <c r="K27" s="62"/>
      <c r="L27" s="62"/>
      <c r="M27" s="5"/>
      <c r="N27" s="5"/>
      <c r="O27" s="5"/>
      <c r="P27" s="5"/>
    </row>
    <row r="28" spans="1:16" ht="15" x14ac:dyDescent="0.25">
      <c r="A28" s="9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5"/>
      <c r="N28" s="5"/>
      <c r="O28" s="5"/>
      <c r="P28" s="5"/>
    </row>
    <row r="29" spans="1:16" x14ac:dyDescent="0.2">
      <c r="A29" s="73"/>
      <c r="B29" s="93" t="s">
        <v>31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5"/>
      <c r="N29" s="5"/>
      <c r="O29" s="5"/>
      <c r="P29" s="5"/>
    </row>
    <row r="30" spans="1:16" x14ac:dyDescent="0.2">
      <c r="A30" s="73"/>
      <c r="B30" s="62" t="s">
        <v>32</v>
      </c>
      <c r="C30" s="95"/>
      <c r="D30" s="62"/>
      <c r="E30" s="62"/>
      <c r="F30" s="62"/>
      <c r="G30" s="62"/>
      <c r="H30" s="62"/>
      <c r="I30" s="62"/>
      <c r="J30" s="62"/>
      <c r="K30" s="62"/>
      <c r="L30" s="62"/>
      <c r="M30" s="5"/>
      <c r="N30" s="5"/>
      <c r="O30" s="5"/>
      <c r="P30" s="5"/>
    </row>
    <row r="31" spans="1:16" x14ac:dyDescent="0.2">
      <c r="A31" s="73"/>
      <c r="B31" s="62"/>
      <c r="C31" s="96"/>
      <c r="D31" s="62"/>
      <c r="E31" s="62"/>
      <c r="F31" s="62"/>
      <c r="G31" s="62"/>
      <c r="H31" s="62"/>
      <c r="I31" s="62"/>
      <c r="J31" s="62"/>
      <c r="K31" s="62"/>
      <c r="L31" s="62"/>
      <c r="M31" s="5"/>
      <c r="N31" s="5"/>
      <c r="O31" s="5"/>
      <c r="P31" s="5"/>
    </row>
    <row r="32" spans="1:16" s="2" customFormat="1" x14ac:dyDescent="0.2">
      <c r="A32" s="97"/>
      <c r="B32" s="98" t="s">
        <v>76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12"/>
      <c r="N32" s="12"/>
      <c r="O32" s="12"/>
      <c r="P32" s="12"/>
    </row>
    <row r="33" spans="1:16" s="3" customFormat="1" x14ac:dyDescent="0.2">
      <c r="A33" s="73"/>
      <c r="B33" s="62" t="s">
        <v>77</v>
      </c>
      <c r="C33" s="62"/>
      <c r="D33" s="62"/>
      <c r="E33" s="62"/>
      <c r="F33" s="62"/>
      <c r="G33" s="62"/>
      <c r="H33" s="62"/>
      <c r="I33" s="62"/>
      <c r="J33" s="75"/>
      <c r="K33" s="75"/>
      <c r="L33" s="75"/>
      <c r="M33" s="9"/>
      <c r="N33" s="9"/>
      <c r="O33" s="9"/>
      <c r="P33" s="9"/>
    </row>
    <row r="34" spans="1:16" ht="12.75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5"/>
      <c r="N34" s="5"/>
      <c r="O34" s="5"/>
      <c r="P34" s="5"/>
    </row>
    <row r="35" spans="1:16" ht="12.75" customHeight="1" x14ac:dyDescent="0.2">
      <c r="A35" s="99"/>
      <c r="B35" s="101" t="s">
        <v>74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5"/>
      <c r="N35" s="5"/>
      <c r="O35" s="5"/>
      <c r="P35" s="5"/>
    </row>
    <row r="36" spans="1:16" ht="12.75" customHeight="1" x14ac:dyDescent="0.2">
      <c r="A36" s="102"/>
      <c r="B36" s="103"/>
      <c r="C36" s="100"/>
      <c r="D36" s="104"/>
      <c r="E36" s="100"/>
      <c r="F36" s="100"/>
      <c r="G36" s="100"/>
      <c r="H36" s="100"/>
      <c r="I36" s="100"/>
      <c r="J36" s="29"/>
      <c r="K36" s="29"/>
      <c r="L36" s="29"/>
      <c r="M36" s="5"/>
      <c r="N36" s="5"/>
      <c r="O36" s="5"/>
      <c r="P36" s="5"/>
    </row>
    <row r="37" spans="1:16" x14ac:dyDescent="0.2">
      <c r="A37" s="14"/>
      <c r="B37" s="20"/>
      <c r="C37" s="20"/>
      <c r="D37" s="20"/>
      <c r="E37" s="20"/>
      <c r="F37" s="20"/>
      <c r="G37" s="20"/>
      <c r="H37" s="20"/>
      <c r="I37" s="20"/>
      <c r="J37" s="8"/>
      <c r="K37" s="8"/>
      <c r="L37" s="8"/>
      <c r="M37" s="5"/>
      <c r="N37" s="5"/>
      <c r="O37" s="5"/>
      <c r="P37" s="5"/>
    </row>
    <row r="38" spans="1:16" x14ac:dyDescent="0.2">
      <c r="A38" s="10"/>
      <c r="B38" s="5"/>
      <c r="C38" s="9"/>
      <c r="D38" s="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2">
      <c r="A39" s="10"/>
      <c r="B39"/>
      <c r="C39" s="9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2">
      <c r="C40" s="9"/>
    </row>
    <row r="41" spans="1:16" x14ac:dyDescent="0.2">
      <c r="C41" s="5"/>
    </row>
    <row r="42" spans="1:16" x14ac:dyDescent="0.2">
      <c r="C42" s="5"/>
    </row>
  </sheetData>
  <sheetProtection sheet="1" objects="1" scenarios="1"/>
  <mergeCells count="1">
    <mergeCell ref="C13:D13"/>
  </mergeCells>
  <conditionalFormatting sqref="D36">
    <cfRule type="expression" dxfId="69" priority="1">
      <formula>$F$30="No"</formula>
    </cfRule>
    <cfRule type="expression" dxfId="68" priority="2">
      <formula>$F$30="No"</formula>
    </cfRule>
    <cfRule type="expression" dxfId="67" priority="3">
      <formula>$F$30="Yes"</formula>
    </cfRule>
  </conditionalFormatting>
  <hyperlinks>
    <hyperlink ref="B35" r:id="rId1"/>
  </hyperlinks>
  <pageMargins left="0.75" right="0.75" top="1" bottom="1" header="0.5" footer="0.5"/>
  <pageSetup scale="94" orientation="portrait" horizontalDpi="4294967292" verticalDpi="4294967292" r:id="rId2"/>
  <headerFooter alignWithMargins="0">
    <oddHeader xml:space="preserve">&amp;L&amp;"Arial,Bold Italic"&amp;8Financial Forecast Workbook&amp;R&amp;"Arial,Italic"&amp;8Overview </oddHeader>
    <oddFooter>&amp;L&amp;"Arial,Italic"&amp;8Version EA-20111014&amp;C&amp;"Arial,Italic"&amp;8Copyright (c) 2011 wendykennedy.com inc.&amp;R&amp;"Arial,Italic"&amp;8Page  &amp;P of &amp;N</oddFooter>
  </headerFooter>
  <rowBreaks count="1" manualBreakCount="1">
    <brk id="17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W67"/>
  <sheetViews>
    <sheetView zoomScaleNormal="100" workbookViewId="0"/>
  </sheetViews>
  <sheetFormatPr defaultColWidth="8.85546875" defaultRowHeight="12.75" x14ac:dyDescent="0.2"/>
  <cols>
    <col min="1" max="1" width="2.5703125" customWidth="1"/>
    <col min="2" max="2" width="7" customWidth="1"/>
    <col min="3" max="3" width="26.7109375" customWidth="1"/>
    <col min="4" max="4" width="9.85546875" customWidth="1"/>
    <col min="5" max="5" width="10" customWidth="1"/>
    <col min="6" max="6" width="9.85546875" customWidth="1"/>
    <col min="7" max="7" width="10.140625" customWidth="1"/>
    <col min="8" max="11" width="8.7109375" customWidth="1"/>
    <col min="12" max="12" width="9.7109375" customWidth="1"/>
    <col min="13" max="13" width="10.5703125" customWidth="1"/>
    <col min="14" max="14" width="7.140625" customWidth="1"/>
    <col min="15" max="15" width="7" customWidth="1"/>
    <col min="16" max="16" width="3" customWidth="1"/>
    <col min="17" max="21" width="8.7109375" customWidth="1"/>
    <col min="22" max="22" width="8.85546875" customWidth="1"/>
    <col min="23" max="24" width="8.7109375" customWidth="1"/>
    <col min="25" max="101" width="8.85546875" customWidth="1"/>
  </cols>
  <sheetData>
    <row r="1" spans="1:22" x14ac:dyDescent="0.2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2" ht="18.75" thickBot="1" x14ac:dyDescent="0.3">
      <c r="A2" s="64"/>
      <c r="B2" s="69" t="s">
        <v>19</v>
      </c>
      <c r="C2" s="468" t="s">
        <v>42</v>
      </c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64"/>
    </row>
    <row r="3" spans="1:22" ht="15.75" customHeight="1" x14ac:dyDescent="0.25">
      <c r="A3" s="64"/>
      <c r="B3" s="61"/>
      <c r="C3" s="63"/>
      <c r="D3" s="62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22" ht="15.75" thickBot="1" x14ac:dyDescent="0.3">
      <c r="A4" s="64"/>
      <c r="B4" s="62"/>
      <c r="C4" s="30" t="s">
        <v>157</v>
      </c>
      <c r="D4" s="6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</row>
    <row r="5" spans="1:22" ht="22.5" customHeight="1" x14ac:dyDescent="0.2">
      <c r="A5" s="64"/>
      <c r="B5" s="479" t="s">
        <v>50</v>
      </c>
      <c r="C5" s="490" t="s">
        <v>43</v>
      </c>
      <c r="D5" s="486" t="s">
        <v>71</v>
      </c>
      <c r="E5" s="471" t="s">
        <v>88</v>
      </c>
      <c r="F5" s="107" t="s">
        <v>51</v>
      </c>
      <c r="G5" s="32" t="s">
        <v>44</v>
      </c>
      <c r="H5" s="39" t="s">
        <v>45</v>
      </c>
      <c r="I5" s="64"/>
      <c r="J5" s="64"/>
      <c r="K5" s="64"/>
      <c r="L5" s="64"/>
      <c r="M5" s="64"/>
      <c r="N5" s="64"/>
      <c r="O5" s="65"/>
      <c r="P5" s="64"/>
    </row>
    <row r="6" spans="1:22" ht="11.25" customHeight="1" thickBot="1" x14ac:dyDescent="0.25">
      <c r="A6" s="64"/>
      <c r="B6" s="480"/>
      <c r="C6" s="491"/>
      <c r="D6" s="487"/>
      <c r="E6" s="472"/>
      <c r="F6" s="108" t="s">
        <v>52</v>
      </c>
      <c r="G6" s="127" t="s">
        <v>70</v>
      </c>
      <c r="H6" s="128" t="s">
        <v>70</v>
      </c>
      <c r="I6" s="64"/>
      <c r="J6" s="64"/>
      <c r="K6" s="64"/>
      <c r="L6" s="64"/>
      <c r="M6" s="64"/>
      <c r="N6" s="64"/>
      <c r="O6" s="65"/>
      <c r="P6" s="64"/>
    </row>
    <row r="7" spans="1:22" ht="15" customHeight="1" x14ac:dyDescent="0.2">
      <c r="A7" s="64"/>
      <c r="B7" s="480"/>
      <c r="C7" s="129" t="s">
        <v>46</v>
      </c>
      <c r="D7" s="130" t="s">
        <v>72</v>
      </c>
      <c r="E7" s="131">
        <v>500</v>
      </c>
      <c r="F7" s="132">
        <v>0.5</v>
      </c>
      <c r="G7" s="133">
        <v>43952</v>
      </c>
      <c r="H7" s="134">
        <v>43983</v>
      </c>
      <c r="I7" s="64"/>
      <c r="J7" s="64"/>
      <c r="K7" s="64"/>
      <c r="L7" s="64"/>
      <c r="M7" s="64"/>
      <c r="N7" s="64"/>
      <c r="O7" s="65"/>
      <c r="P7" s="64"/>
    </row>
    <row r="8" spans="1:22" ht="15" customHeight="1" x14ac:dyDescent="0.2">
      <c r="A8" s="64"/>
      <c r="B8" s="480"/>
      <c r="C8" s="33" t="s">
        <v>47</v>
      </c>
      <c r="D8" s="41" t="s">
        <v>72</v>
      </c>
      <c r="E8" s="42">
        <v>1000</v>
      </c>
      <c r="F8" s="43">
        <v>0.75</v>
      </c>
      <c r="G8" s="44">
        <v>44013</v>
      </c>
      <c r="H8" s="45">
        <v>44228</v>
      </c>
      <c r="I8" s="64"/>
      <c r="J8" s="64"/>
      <c r="K8" s="64"/>
      <c r="L8" s="64"/>
      <c r="M8" s="64"/>
      <c r="N8" s="64"/>
      <c r="O8" s="65"/>
      <c r="P8" s="64"/>
    </row>
    <row r="9" spans="1:22" ht="15" customHeight="1" x14ac:dyDescent="0.2">
      <c r="A9" s="64"/>
      <c r="B9" s="480"/>
      <c r="C9" s="33" t="s">
        <v>24</v>
      </c>
      <c r="D9" s="41" t="s">
        <v>72</v>
      </c>
      <c r="E9" s="42">
        <v>800</v>
      </c>
      <c r="F9" s="43">
        <v>0.5</v>
      </c>
      <c r="G9" s="44">
        <v>44256</v>
      </c>
      <c r="H9" s="45">
        <v>44531</v>
      </c>
      <c r="I9" s="64"/>
      <c r="J9" s="64"/>
      <c r="K9" s="64"/>
      <c r="L9" s="64"/>
      <c r="M9" s="64"/>
      <c r="N9" s="64"/>
      <c r="O9" s="65"/>
      <c r="P9" s="64"/>
    </row>
    <row r="10" spans="1:22" ht="15" customHeight="1" x14ac:dyDescent="0.2">
      <c r="A10" s="64"/>
      <c r="B10" s="480"/>
      <c r="C10" s="33" t="s">
        <v>48</v>
      </c>
      <c r="D10" s="41" t="s">
        <v>72</v>
      </c>
      <c r="E10" s="42">
        <v>600</v>
      </c>
      <c r="F10" s="43">
        <v>0.5</v>
      </c>
      <c r="G10" s="44">
        <v>44562</v>
      </c>
      <c r="H10" s="45">
        <v>44896</v>
      </c>
      <c r="I10" s="64"/>
      <c r="J10" s="64"/>
      <c r="K10" s="64"/>
      <c r="L10" s="64"/>
      <c r="M10" s="64"/>
      <c r="N10" s="64"/>
      <c r="O10" s="65"/>
      <c r="P10" s="64"/>
    </row>
    <row r="11" spans="1:22" ht="15" customHeight="1" thickBot="1" x14ac:dyDescent="0.25">
      <c r="A11" s="64"/>
      <c r="B11" s="481"/>
      <c r="C11" s="34" t="s">
        <v>49</v>
      </c>
      <c r="D11" s="36" t="s">
        <v>73</v>
      </c>
      <c r="E11" s="35" t="s">
        <v>73</v>
      </c>
      <c r="F11" s="35" t="s">
        <v>73</v>
      </c>
      <c r="G11" s="110">
        <v>44927</v>
      </c>
      <c r="H11" s="106">
        <v>48549</v>
      </c>
      <c r="I11" s="64"/>
      <c r="J11" s="64"/>
      <c r="K11" s="64"/>
      <c r="L11" s="64"/>
      <c r="M11" s="64"/>
      <c r="N11" s="64"/>
      <c r="O11" s="65"/>
      <c r="P11" s="64"/>
    </row>
    <row r="12" spans="1:22" x14ac:dyDescent="0.2">
      <c r="A12" s="64"/>
      <c r="B12" s="62"/>
      <c r="C12" s="66"/>
      <c r="D12" s="64"/>
      <c r="E12" s="64"/>
      <c r="F12" s="64"/>
      <c r="G12" s="64"/>
      <c r="H12" s="64"/>
      <c r="I12" s="65"/>
      <c r="J12" s="65"/>
      <c r="K12" s="65"/>
      <c r="L12" s="65"/>
      <c r="M12" s="65"/>
      <c r="N12" s="65"/>
      <c r="O12" s="65"/>
      <c r="P12" s="65"/>
      <c r="Q12" s="40"/>
      <c r="R12" s="40"/>
      <c r="S12" s="40"/>
      <c r="T12" s="40"/>
      <c r="U12" s="40"/>
      <c r="V12" s="40"/>
    </row>
    <row r="13" spans="1:22" x14ac:dyDescent="0.2">
      <c r="A13" s="64"/>
      <c r="B13" s="62"/>
      <c r="C13" s="62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22" ht="15.75" thickBot="1" x14ac:dyDescent="0.3">
      <c r="A14" s="64"/>
      <c r="B14" s="62"/>
      <c r="C14" s="21" t="s">
        <v>158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22" ht="18" customHeight="1" x14ac:dyDescent="0.2">
      <c r="A15" s="64"/>
      <c r="B15" s="68"/>
      <c r="C15" s="488" t="s">
        <v>37</v>
      </c>
      <c r="D15" s="471" t="s">
        <v>123</v>
      </c>
      <c r="E15" s="471" t="s">
        <v>124</v>
      </c>
      <c r="F15" s="509" t="s">
        <v>125</v>
      </c>
      <c r="G15" s="469" t="s">
        <v>163</v>
      </c>
      <c r="H15" s="64"/>
      <c r="I15" s="64"/>
      <c r="J15" s="64"/>
      <c r="K15" s="64"/>
      <c r="L15" s="64"/>
      <c r="M15" s="64"/>
      <c r="N15" s="64"/>
      <c r="O15" s="64"/>
      <c r="P15" s="64"/>
    </row>
    <row r="16" spans="1:22" ht="21" customHeight="1" thickBot="1" x14ac:dyDescent="0.25">
      <c r="A16" s="64"/>
      <c r="B16" s="17"/>
      <c r="C16" s="489"/>
      <c r="D16" s="472"/>
      <c r="E16" s="472"/>
      <c r="F16" s="510"/>
      <c r="G16" s="470"/>
      <c r="H16" s="64"/>
      <c r="I16" s="64"/>
      <c r="J16" s="64"/>
      <c r="K16" s="64"/>
      <c r="L16" s="64"/>
      <c r="M16" s="64"/>
      <c r="N16" s="64"/>
      <c r="O16" s="64"/>
      <c r="P16" s="64"/>
    </row>
    <row r="17" spans="1:23" ht="15" customHeight="1" x14ac:dyDescent="0.2">
      <c r="A17" s="64"/>
      <c r="B17" s="479" t="s">
        <v>36</v>
      </c>
      <c r="C17" s="122" t="s">
        <v>33</v>
      </c>
      <c r="D17" s="123">
        <v>1800</v>
      </c>
      <c r="E17" s="124">
        <v>150</v>
      </c>
      <c r="F17" s="125">
        <v>1200</v>
      </c>
      <c r="G17" s="126">
        <v>1500</v>
      </c>
      <c r="H17" s="64"/>
      <c r="I17" s="64"/>
      <c r="J17" s="64"/>
      <c r="K17" s="64"/>
      <c r="L17" s="64"/>
      <c r="M17" s="64"/>
      <c r="N17" s="64"/>
      <c r="O17" s="64"/>
      <c r="P17" s="64"/>
      <c r="R17" s="135"/>
    </row>
    <row r="18" spans="1:23" ht="15" customHeight="1" x14ac:dyDescent="0.2">
      <c r="A18" s="64"/>
      <c r="B18" s="480"/>
      <c r="C18" s="46" t="s">
        <v>34</v>
      </c>
      <c r="D18" s="47">
        <v>0</v>
      </c>
      <c r="E18" s="48">
        <v>0</v>
      </c>
      <c r="F18" s="49">
        <v>0</v>
      </c>
      <c r="G18" s="50">
        <v>0</v>
      </c>
      <c r="H18" s="64"/>
      <c r="I18" s="64"/>
      <c r="J18" s="64"/>
      <c r="K18" s="64"/>
      <c r="L18" s="64"/>
      <c r="M18" s="64"/>
      <c r="N18" s="64"/>
      <c r="O18" s="64"/>
      <c r="P18" s="64"/>
      <c r="R18" s="24"/>
    </row>
    <row r="19" spans="1:23" ht="15" customHeight="1" thickBot="1" x14ac:dyDescent="0.25">
      <c r="A19" s="64"/>
      <c r="B19" s="481"/>
      <c r="C19" s="46" t="s">
        <v>35</v>
      </c>
      <c r="D19" s="47">
        <v>0</v>
      </c>
      <c r="E19" s="48">
        <v>0</v>
      </c>
      <c r="F19" s="49">
        <v>0</v>
      </c>
      <c r="G19" s="50">
        <v>0</v>
      </c>
      <c r="H19" s="64"/>
      <c r="I19" s="64"/>
      <c r="J19" s="64"/>
      <c r="K19" s="64"/>
      <c r="L19" s="64"/>
      <c r="M19" s="64"/>
      <c r="N19" s="64"/>
      <c r="O19" s="64"/>
      <c r="P19" s="64"/>
      <c r="R19" s="24"/>
    </row>
    <row r="20" spans="1:23" ht="15" customHeight="1" x14ac:dyDescent="0.2">
      <c r="A20" s="64"/>
      <c r="B20" s="105"/>
      <c r="C20" s="142" t="s">
        <v>82</v>
      </c>
      <c r="D20" s="143">
        <v>0.02</v>
      </c>
      <c r="E20" s="143">
        <v>0.02</v>
      </c>
      <c r="F20" s="143">
        <v>0.02</v>
      </c>
      <c r="G20" s="144">
        <v>0.02</v>
      </c>
      <c r="H20" s="64"/>
      <c r="I20" s="64"/>
      <c r="J20" s="64"/>
      <c r="K20" s="64"/>
      <c r="L20" s="64"/>
      <c r="M20" s="64"/>
      <c r="N20" s="64"/>
      <c r="O20" s="64"/>
      <c r="P20" s="64"/>
    </row>
    <row r="21" spans="1:23" ht="13.5" thickBot="1" x14ac:dyDescent="0.25">
      <c r="A21" s="64"/>
      <c r="B21" s="67"/>
      <c r="C21" s="145" t="s">
        <v>83</v>
      </c>
      <c r="D21" s="147"/>
      <c r="E21" s="146"/>
      <c r="F21" s="466">
        <v>0.1</v>
      </c>
      <c r="G21" s="148"/>
      <c r="H21" s="64"/>
      <c r="I21" s="64"/>
      <c r="J21" s="64"/>
      <c r="K21" s="64"/>
      <c r="L21" s="64"/>
      <c r="M21" s="64"/>
      <c r="N21" s="64"/>
      <c r="O21" s="64"/>
      <c r="P21" s="64"/>
    </row>
    <row r="22" spans="1:23" x14ac:dyDescent="0.2">
      <c r="A22" s="64"/>
      <c r="B22" s="67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23" ht="12.75" customHeight="1" x14ac:dyDescent="0.2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23" ht="13.5" thickBot="1" x14ac:dyDescent="0.25">
      <c r="A24" s="64"/>
      <c r="B24" s="64"/>
      <c r="C24" s="2" t="s">
        <v>159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23" ht="12.75" customHeight="1" x14ac:dyDescent="0.2">
      <c r="A25" s="64"/>
      <c r="B25" s="479" t="s">
        <v>41</v>
      </c>
      <c r="C25" s="511" t="s">
        <v>92</v>
      </c>
      <c r="D25" s="512"/>
      <c r="E25" s="37">
        <f>+$G$11</f>
        <v>44927</v>
      </c>
      <c r="F25" s="138" t="s">
        <v>133</v>
      </c>
      <c r="G25" s="136"/>
      <c r="H25" s="136"/>
      <c r="I25" s="136"/>
      <c r="J25" s="136"/>
      <c r="K25" s="136"/>
      <c r="L25" s="136"/>
      <c r="M25" s="136"/>
      <c r="N25" s="136"/>
      <c r="O25" s="137"/>
      <c r="P25" s="64"/>
    </row>
    <row r="26" spans="1:23" ht="13.5" thickBot="1" x14ac:dyDescent="0.25">
      <c r="A26" s="64"/>
      <c r="B26" s="480"/>
      <c r="C26" s="513"/>
      <c r="D26" s="514"/>
      <c r="E26" s="140">
        <v>0</v>
      </c>
      <c r="F26" s="140">
        <v>1</v>
      </c>
      <c r="G26" s="140">
        <v>2</v>
      </c>
      <c r="H26" s="140">
        <v>3</v>
      </c>
      <c r="I26" s="140">
        <v>4</v>
      </c>
      <c r="J26" s="140">
        <v>5</v>
      </c>
      <c r="K26" s="140">
        <v>6</v>
      </c>
      <c r="L26" s="140">
        <v>7</v>
      </c>
      <c r="M26" s="140">
        <v>8</v>
      </c>
      <c r="N26" s="140">
        <v>9</v>
      </c>
      <c r="O26" s="141">
        <v>10</v>
      </c>
      <c r="P26" s="64"/>
      <c r="Q26" s="52"/>
      <c r="R26" s="52"/>
      <c r="S26" s="52"/>
      <c r="T26" s="52"/>
      <c r="U26" s="52"/>
      <c r="V26" s="52"/>
      <c r="W26" s="52"/>
    </row>
    <row r="27" spans="1:23" x14ac:dyDescent="0.2">
      <c r="A27" s="64"/>
      <c r="B27" s="480"/>
      <c r="C27" s="515" t="str">
        <f>+C17</f>
        <v>Customer Segment 1 (CS1)</v>
      </c>
      <c r="D27" s="503"/>
      <c r="E27" s="120">
        <v>10</v>
      </c>
      <c r="F27" s="120">
        <v>100</v>
      </c>
      <c r="G27" s="120">
        <v>200</v>
      </c>
      <c r="H27" s="120">
        <v>220</v>
      </c>
      <c r="I27" s="120">
        <v>300</v>
      </c>
      <c r="J27" s="120">
        <v>400</v>
      </c>
      <c r="K27" s="120">
        <v>550</v>
      </c>
      <c r="L27" s="120">
        <v>600</v>
      </c>
      <c r="M27" s="120">
        <v>600</v>
      </c>
      <c r="N27" s="120">
        <v>550</v>
      </c>
      <c r="O27" s="121">
        <v>500</v>
      </c>
      <c r="P27" s="64"/>
    </row>
    <row r="28" spans="1:23" x14ac:dyDescent="0.2">
      <c r="A28" s="64"/>
      <c r="B28" s="480"/>
      <c r="C28" s="516" t="str">
        <f>+C18</f>
        <v>Customer Segment 2 (CS2)</v>
      </c>
      <c r="D28" s="485"/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5">
        <v>0</v>
      </c>
      <c r="P28" s="64"/>
    </row>
    <row r="29" spans="1:23" ht="13.5" thickBot="1" x14ac:dyDescent="0.25">
      <c r="A29" s="64"/>
      <c r="B29" s="481"/>
      <c r="C29" s="517" t="str">
        <f>+C19</f>
        <v>Customer Segment 3 (CS3)</v>
      </c>
      <c r="D29" s="518"/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6">
        <v>0</v>
      </c>
      <c r="P29" s="64"/>
    </row>
    <row r="30" spans="1:23" ht="12.75" customHeight="1" x14ac:dyDescent="0.2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23" ht="12.75" customHeight="1" x14ac:dyDescent="0.2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spans="1:23" ht="15.75" thickBot="1" x14ac:dyDescent="0.3">
      <c r="A32" s="64"/>
      <c r="B32" s="64"/>
      <c r="C32" s="21" t="s">
        <v>160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1:16" ht="12.75" customHeight="1" x14ac:dyDescent="0.2">
      <c r="A33" s="64"/>
      <c r="B33" s="473" t="s">
        <v>26</v>
      </c>
      <c r="C33" s="494" t="s">
        <v>39</v>
      </c>
      <c r="D33" s="495"/>
      <c r="E33" s="37">
        <f>+G11</f>
        <v>44927</v>
      </c>
      <c r="F33" s="138" t="s">
        <v>133</v>
      </c>
      <c r="G33" s="136"/>
      <c r="H33" s="136"/>
      <c r="I33" s="136"/>
      <c r="J33" s="136"/>
      <c r="K33" s="136"/>
      <c r="L33" s="136"/>
      <c r="M33" s="136"/>
      <c r="N33" s="136"/>
      <c r="O33" s="137"/>
      <c r="P33" s="64"/>
    </row>
    <row r="34" spans="1:16" ht="12.75" customHeight="1" thickBot="1" x14ac:dyDescent="0.25">
      <c r="A34" s="64"/>
      <c r="B34" s="474"/>
      <c r="C34" s="496"/>
      <c r="D34" s="497"/>
      <c r="E34" s="25">
        <v>0</v>
      </c>
      <c r="F34" s="25">
        <v>1</v>
      </c>
      <c r="G34" s="25">
        <v>2</v>
      </c>
      <c r="H34" s="25">
        <v>3</v>
      </c>
      <c r="I34" s="25">
        <v>4</v>
      </c>
      <c r="J34" s="25">
        <v>5</v>
      </c>
      <c r="K34" s="25">
        <v>6</v>
      </c>
      <c r="L34" s="25">
        <v>7</v>
      </c>
      <c r="M34" s="25">
        <v>8</v>
      </c>
      <c r="N34" s="25">
        <v>9</v>
      </c>
      <c r="O34" s="111">
        <v>10</v>
      </c>
      <c r="P34" s="64"/>
    </row>
    <row r="35" spans="1:16" x14ac:dyDescent="0.2">
      <c r="A35" s="64"/>
      <c r="B35" s="474"/>
      <c r="C35" s="502" t="s">
        <v>131</v>
      </c>
      <c r="D35" s="503"/>
      <c r="E35" s="118">
        <v>50000</v>
      </c>
      <c r="F35" s="118">
        <v>50000</v>
      </c>
      <c r="G35" s="118">
        <v>50000</v>
      </c>
      <c r="H35" s="118">
        <v>60000</v>
      </c>
      <c r="I35" s="118">
        <v>60000</v>
      </c>
      <c r="J35" s="118">
        <v>60000</v>
      </c>
      <c r="K35" s="118">
        <v>60000</v>
      </c>
      <c r="L35" s="118">
        <v>60000</v>
      </c>
      <c r="M35" s="118">
        <v>60000</v>
      </c>
      <c r="N35" s="118">
        <v>60000</v>
      </c>
      <c r="O35" s="119">
        <v>55000</v>
      </c>
      <c r="P35" s="64"/>
    </row>
    <row r="36" spans="1:16" x14ac:dyDescent="0.2">
      <c r="A36" s="64"/>
      <c r="B36" s="474"/>
      <c r="C36" s="484" t="s">
        <v>129</v>
      </c>
      <c r="D36" s="485"/>
      <c r="E36" s="59">
        <v>35000</v>
      </c>
      <c r="F36" s="59">
        <v>35000</v>
      </c>
      <c r="G36" s="59">
        <v>35000</v>
      </c>
      <c r="H36" s="59">
        <v>35000</v>
      </c>
      <c r="I36" s="59">
        <v>35000</v>
      </c>
      <c r="J36" s="59">
        <v>35000</v>
      </c>
      <c r="K36" s="59">
        <v>35000</v>
      </c>
      <c r="L36" s="59">
        <v>35000</v>
      </c>
      <c r="M36" s="59">
        <v>35000</v>
      </c>
      <c r="N36" s="59">
        <v>35000</v>
      </c>
      <c r="O36" s="60">
        <v>35000</v>
      </c>
      <c r="P36" s="64"/>
    </row>
    <row r="37" spans="1:16" x14ac:dyDescent="0.2">
      <c r="A37" s="64"/>
      <c r="B37" s="474"/>
      <c r="C37" s="484" t="s">
        <v>130</v>
      </c>
      <c r="D37" s="485"/>
      <c r="E37" s="59">
        <v>25000</v>
      </c>
      <c r="F37" s="59">
        <v>25000</v>
      </c>
      <c r="G37" s="59">
        <v>25000</v>
      </c>
      <c r="H37" s="59">
        <v>30000</v>
      </c>
      <c r="I37" s="59">
        <v>30000</v>
      </c>
      <c r="J37" s="59">
        <v>30000</v>
      </c>
      <c r="K37" s="59">
        <v>30000</v>
      </c>
      <c r="L37" s="59">
        <v>30000</v>
      </c>
      <c r="M37" s="59">
        <v>30000</v>
      </c>
      <c r="N37" s="59">
        <v>30000</v>
      </c>
      <c r="O37" s="60">
        <v>30000</v>
      </c>
      <c r="P37" s="64"/>
    </row>
    <row r="38" spans="1:16" x14ac:dyDescent="0.2">
      <c r="A38" s="64"/>
      <c r="B38" s="474"/>
      <c r="C38" s="492" t="s">
        <v>27</v>
      </c>
      <c r="D38" s="493"/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5">
        <v>0</v>
      </c>
      <c r="P38" s="64"/>
    </row>
    <row r="39" spans="1:16" x14ac:dyDescent="0.2">
      <c r="A39" s="64"/>
      <c r="B39" s="474"/>
      <c r="C39" s="492" t="s">
        <v>28</v>
      </c>
      <c r="D39" s="493"/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5">
        <v>0</v>
      </c>
      <c r="P39" s="64"/>
    </row>
    <row r="40" spans="1:16" ht="13.5" thickBot="1" x14ac:dyDescent="0.25">
      <c r="A40" s="64"/>
      <c r="B40" s="475"/>
      <c r="C40" s="482" t="s">
        <v>29</v>
      </c>
      <c r="D40" s="483"/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6">
        <v>0</v>
      </c>
      <c r="P40" s="64"/>
    </row>
    <row r="41" spans="1:16" x14ac:dyDescent="0.2">
      <c r="A41" s="64"/>
      <c r="B41" s="64"/>
      <c r="C41" s="62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1:16" x14ac:dyDescent="0.2">
      <c r="A42" s="64"/>
      <c r="B42" s="64"/>
      <c r="C42" s="62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15.75" thickBot="1" x14ac:dyDescent="0.3">
      <c r="A43" s="64"/>
      <c r="B43" s="64"/>
      <c r="C43" s="21" t="s">
        <v>161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16" ht="12.75" customHeight="1" x14ac:dyDescent="0.2">
      <c r="A44" s="64"/>
      <c r="B44" s="476" t="s">
        <v>30</v>
      </c>
      <c r="C44" s="504" t="s">
        <v>40</v>
      </c>
      <c r="D44" s="505"/>
      <c r="E44" s="38">
        <f>+$G$11</f>
        <v>44927</v>
      </c>
      <c r="F44" s="138" t="s">
        <v>133</v>
      </c>
      <c r="G44" s="136"/>
      <c r="H44" s="136"/>
      <c r="I44" s="136"/>
      <c r="J44" s="136"/>
      <c r="K44" s="136"/>
      <c r="L44" s="136"/>
      <c r="M44" s="136"/>
      <c r="N44" s="136"/>
      <c r="O44" s="139"/>
      <c r="P44" s="64"/>
    </row>
    <row r="45" spans="1:16" ht="12.75" customHeight="1" thickBot="1" x14ac:dyDescent="0.25">
      <c r="A45" s="64"/>
      <c r="B45" s="477"/>
      <c r="C45" s="506"/>
      <c r="D45" s="507"/>
      <c r="E45" s="25">
        <v>0</v>
      </c>
      <c r="F45" s="25">
        <v>1</v>
      </c>
      <c r="G45" s="25">
        <v>2</v>
      </c>
      <c r="H45" s="25">
        <v>3</v>
      </c>
      <c r="I45" s="25">
        <v>4</v>
      </c>
      <c r="J45" s="25">
        <v>5</v>
      </c>
      <c r="K45" s="25">
        <v>6</v>
      </c>
      <c r="L45" s="25">
        <v>7</v>
      </c>
      <c r="M45" s="25">
        <v>8</v>
      </c>
      <c r="N45" s="25">
        <v>9</v>
      </c>
      <c r="O45" s="111">
        <v>10</v>
      </c>
      <c r="P45" s="64"/>
    </row>
    <row r="46" spans="1:16" ht="12.75" customHeight="1" x14ac:dyDescent="0.2">
      <c r="A46" s="64"/>
      <c r="B46" s="477"/>
      <c r="C46" s="502" t="s">
        <v>128</v>
      </c>
      <c r="D46" s="508"/>
      <c r="E46" s="115">
        <v>5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7"/>
      <c r="P46" s="64"/>
    </row>
    <row r="47" spans="1:16" x14ac:dyDescent="0.2">
      <c r="A47" s="64"/>
      <c r="B47" s="477"/>
      <c r="C47" s="498" t="s">
        <v>13</v>
      </c>
      <c r="D47" s="499"/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8">
        <v>0</v>
      </c>
      <c r="P47" s="64"/>
    </row>
    <row r="48" spans="1:16" ht="13.5" thickBot="1" x14ac:dyDescent="0.25">
      <c r="A48" s="64"/>
      <c r="B48" s="477"/>
      <c r="C48" s="500" t="s">
        <v>14</v>
      </c>
      <c r="D48" s="501"/>
      <c r="E48" s="112">
        <v>0</v>
      </c>
      <c r="F48" s="112">
        <v>20000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3">
        <v>0</v>
      </c>
      <c r="P48" s="64"/>
    </row>
    <row r="49" spans="1:16" x14ac:dyDescent="0.2">
      <c r="A49" s="64"/>
      <c r="B49" s="477"/>
      <c r="C49" s="484" t="s">
        <v>128</v>
      </c>
      <c r="D49" s="485"/>
      <c r="E49" s="114">
        <v>7</v>
      </c>
      <c r="F49" s="29"/>
      <c r="G49" s="29"/>
      <c r="H49" s="29"/>
      <c r="I49" s="29"/>
      <c r="J49" s="29"/>
      <c r="K49" s="29"/>
      <c r="L49" s="29"/>
      <c r="M49" s="29"/>
      <c r="N49" s="29"/>
      <c r="O49" s="51"/>
      <c r="P49" s="64"/>
    </row>
    <row r="50" spans="1:16" x14ac:dyDescent="0.2">
      <c r="A50" s="64"/>
      <c r="B50" s="477"/>
      <c r="C50" s="498" t="s">
        <v>15</v>
      </c>
      <c r="D50" s="499"/>
      <c r="E50" s="57">
        <v>5000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8">
        <v>0</v>
      </c>
      <c r="P50" s="64"/>
    </row>
    <row r="51" spans="1:16" ht="13.5" thickBot="1" x14ac:dyDescent="0.25">
      <c r="A51" s="64"/>
      <c r="B51" s="478"/>
      <c r="C51" s="500" t="s">
        <v>25</v>
      </c>
      <c r="D51" s="501"/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3">
        <v>0</v>
      </c>
      <c r="P51" s="64"/>
    </row>
    <row r="52" spans="1:16" x14ac:dyDescent="0.2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</row>
    <row r="53" spans="1:16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</row>
    <row r="54" spans="1:16" x14ac:dyDescent="0.2">
      <c r="A54" s="64"/>
      <c r="B54" s="64"/>
      <c r="C54" s="2" t="s">
        <v>162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</row>
    <row r="55" spans="1:16" x14ac:dyDescent="0.2">
      <c r="A55" s="64"/>
      <c r="B55" s="64"/>
      <c r="C55" s="109" t="s">
        <v>126</v>
      </c>
      <c r="D55" s="467">
        <v>0.1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6" spans="1:16" x14ac:dyDescent="0.2">
      <c r="A56" s="64"/>
      <c r="B56" s="64"/>
      <c r="C56" s="109" t="s">
        <v>127</v>
      </c>
      <c r="D56" s="467">
        <v>0.2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</row>
    <row r="57" spans="1:16" ht="12.75" customHeight="1" x14ac:dyDescent="0.2">
      <c r="A57" s="64"/>
      <c r="B57" s="64"/>
      <c r="C57" s="70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67" spans="2:10" x14ac:dyDescent="0.2">
      <c r="B67" s="18"/>
      <c r="C67" s="22"/>
      <c r="D67" s="23"/>
      <c r="E67" s="23"/>
      <c r="F67" s="19"/>
      <c r="G67" s="19"/>
      <c r="H67" s="19"/>
      <c r="I67" s="19"/>
      <c r="J67" s="19"/>
    </row>
  </sheetData>
  <sheetProtection sheet="1" objects="1" scenarios="1"/>
  <mergeCells count="32">
    <mergeCell ref="E15:E16"/>
    <mergeCell ref="F15:F16"/>
    <mergeCell ref="C38:D38"/>
    <mergeCell ref="C25:D26"/>
    <mergeCell ref="C27:D27"/>
    <mergeCell ref="C28:D28"/>
    <mergeCell ref="C29:D29"/>
    <mergeCell ref="C50:D50"/>
    <mergeCell ref="C51:D51"/>
    <mergeCell ref="C35:D35"/>
    <mergeCell ref="C36:D36"/>
    <mergeCell ref="D15:D16"/>
    <mergeCell ref="C44:D45"/>
    <mergeCell ref="C47:D47"/>
    <mergeCell ref="C48:D48"/>
    <mergeCell ref="C46:D46"/>
    <mergeCell ref="C2:O2"/>
    <mergeCell ref="G15:G16"/>
    <mergeCell ref="E5:E6"/>
    <mergeCell ref="B33:B40"/>
    <mergeCell ref="B44:B51"/>
    <mergeCell ref="B25:B29"/>
    <mergeCell ref="C40:D40"/>
    <mergeCell ref="C37:D37"/>
    <mergeCell ref="D5:D6"/>
    <mergeCell ref="B17:B19"/>
    <mergeCell ref="C15:C16"/>
    <mergeCell ref="B5:B11"/>
    <mergeCell ref="C5:C6"/>
    <mergeCell ref="C49:D49"/>
    <mergeCell ref="C39:D39"/>
    <mergeCell ref="C33:D34"/>
  </mergeCells>
  <conditionalFormatting sqref="O25:O51">
    <cfRule type="expression" dxfId="66" priority="17">
      <formula>$O$26&gt;(YEAR($H$11) - YEAR($G$11))</formula>
    </cfRule>
  </conditionalFormatting>
  <conditionalFormatting sqref="N25:N51">
    <cfRule type="expression" dxfId="65" priority="16">
      <formula>$N$26&gt;(YEAR($H$11) - YEAR($G$11))</formula>
    </cfRule>
  </conditionalFormatting>
  <conditionalFormatting sqref="M25:M51">
    <cfRule type="expression" dxfId="64" priority="15">
      <formula>$M$26&gt;(YEAR($H$11) - YEAR($G$11))</formula>
    </cfRule>
  </conditionalFormatting>
  <conditionalFormatting sqref="L25:L51">
    <cfRule type="expression" dxfId="63" priority="14">
      <formula>$L$26&gt;(YEAR($H$11) - YEAR($G$11))</formula>
    </cfRule>
  </conditionalFormatting>
  <conditionalFormatting sqref="K25:K51">
    <cfRule type="expression" dxfId="62" priority="13">
      <formula>$K$26&gt;(YEAR($H$11) - YEAR($G$11))</formula>
    </cfRule>
  </conditionalFormatting>
  <conditionalFormatting sqref="J25:J51">
    <cfRule type="expression" dxfId="61" priority="12">
      <formula>$J$26&gt;(YEAR($H$11) - YEAR($G$11))</formula>
    </cfRule>
  </conditionalFormatting>
  <conditionalFormatting sqref="I25:I51">
    <cfRule type="expression" dxfId="60" priority="11">
      <formula>$I$26&gt;(YEAR($H$11) - YEAR($G$11))</formula>
    </cfRule>
  </conditionalFormatting>
  <conditionalFormatting sqref="H25:H51">
    <cfRule type="expression" dxfId="59" priority="10">
      <formula>$H$26&gt;(YEAR($H$11) - YEAR($G$11))</formula>
    </cfRule>
  </conditionalFormatting>
  <conditionalFormatting sqref="G25:G51">
    <cfRule type="expression" dxfId="58" priority="9">
      <formula>$G$26&gt;(YEAR($H$11) - YEAR($G$11))</formula>
    </cfRule>
  </conditionalFormatting>
  <conditionalFormatting sqref="F25:F51">
    <cfRule type="expression" dxfId="57" priority="8">
      <formula>$F$26&gt;(YEAR($H$11) - YEAR($G$11))</formula>
    </cfRule>
  </conditionalFormatting>
  <conditionalFormatting sqref="E25:E51">
    <cfRule type="expression" dxfId="56" priority="7">
      <formula>$E$26&gt;(YEAR($H$11) - YEAR($G$11))</formula>
    </cfRule>
  </conditionalFormatting>
  <conditionalFormatting sqref="D7:H7">
    <cfRule type="expression" dxfId="55" priority="6">
      <formula>($D$7="NO")</formula>
    </cfRule>
  </conditionalFormatting>
  <conditionalFormatting sqref="D8:H8">
    <cfRule type="expression" dxfId="54" priority="4">
      <formula>($D$8="NO")</formula>
    </cfRule>
  </conditionalFormatting>
  <conditionalFormatting sqref="D9:H9">
    <cfRule type="expression" dxfId="53" priority="3">
      <formula>($D$9="NO")</formula>
    </cfRule>
  </conditionalFormatting>
  <conditionalFormatting sqref="D10:H10">
    <cfRule type="expression" dxfId="52" priority="1">
      <formula>($D$10="NO")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SUPPORT!$AA$23:$AA$24</xm:f>
          </x14:formula1>
          <xm:sqref>D10</xm:sqref>
        </x14:dataValidation>
        <x14:dataValidation type="list" allowBlank="1" showInputMessage="1" showErrorMessage="1">
          <x14:formula1>
            <xm:f>SUPPORT!$AA$23:$AA$24</xm:f>
          </x14:formula1>
          <xm:sqref>D9 D8</xm:sqref>
        </x14:dataValidation>
        <x14:dataValidation type="list" allowBlank="1" showInputMessage="1" showErrorMessage="1">
          <x14:formula1>
            <xm:f>SUPPORT!$AA$23:$AA$24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79998168889431442"/>
  </sheetPr>
  <dimension ref="A1:AA130"/>
  <sheetViews>
    <sheetView zoomScaleNormal="100" workbookViewId="0"/>
  </sheetViews>
  <sheetFormatPr defaultColWidth="8.85546875" defaultRowHeight="12.75" x14ac:dyDescent="0.2"/>
  <cols>
    <col min="1" max="1" width="2.7109375" style="4" customWidth="1"/>
    <col min="2" max="2" width="8.85546875" style="4"/>
    <col min="3" max="3" width="32.140625" style="4" customWidth="1"/>
    <col min="4" max="4" width="27.5703125" style="4" customWidth="1"/>
    <col min="5" max="14" width="13.7109375" style="4" customWidth="1"/>
    <col min="15" max="25" width="13.7109375" style="1" customWidth="1"/>
    <col min="26" max="26" width="10.28515625" style="4" customWidth="1"/>
    <col min="27" max="27" width="8.85546875" style="4" customWidth="1"/>
    <col min="28" max="16384" width="8.85546875" style="4"/>
  </cols>
  <sheetData>
    <row r="1" spans="1:27" x14ac:dyDescent="0.2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</row>
    <row r="2" spans="1:27" s="15" customFormat="1" ht="18.75" thickBot="1" x14ac:dyDescent="0.3">
      <c r="A2" s="387"/>
      <c r="B2" s="388" t="s">
        <v>78</v>
      </c>
      <c r="C2" s="389" t="s">
        <v>79</v>
      </c>
      <c r="D2" s="389"/>
      <c r="E2" s="390"/>
      <c r="F2" s="390"/>
      <c r="G2" s="390"/>
      <c r="H2" s="391"/>
      <c r="I2" s="391"/>
      <c r="J2" s="391"/>
      <c r="K2" s="391"/>
      <c r="L2" s="391"/>
      <c r="M2" s="391"/>
      <c r="N2" s="391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3"/>
    </row>
    <row r="3" spans="1:27" ht="13.5" thickBot="1" x14ac:dyDescent="0.25">
      <c r="A3" s="387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87"/>
    </row>
    <row r="4" spans="1:27" ht="12.75" customHeight="1" x14ac:dyDescent="0.2">
      <c r="A4" s="387"/>
      <c r="B4" s="395"/>
      <c r="C4" s="396" t="s">
        <v>23</v>
      </c>
      <c r="D4" s="397">
        <f>+I.InputData!D55</f>
        <v>0.1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</row>
    <row r="5" spans="1:27" ht="12.75" customHeight="1" thickBot="1" x14ac:dyDescent="0.25">
      <c r="A5" s="387"/>
      <c r="B5" s="399"/>
      <c r="C5" s="400" t="s">
        <v>86</v>
      </c>
      <c r="D5" s="401">
        <f>+I.InputData!D56</f>
        <v>0.2</v>
      </c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398"/>
    </row>
    <row r="6" spans="1:27" ht="12.75" customHeight="1" x14ac:dyDescent="0.2">
      <c r="A6" s="387"/>
      <c r="B6" s="526" t="s">
        <v>2</v>
      </c>
      <c r="C6" s="403"/>
      <c r="D6" s="404" t="s">
        <v>137</v>
      </c>
      <c r="E6" s="405">
        <f>HLOOKUP(E$8,SUPPORT!$T$5:$AN$19,2,FALSE)</f>
        <v>0</v>
      </c>
      <c r="F6" s="405">
        <f>HLOOKUP(F$8,SUPPORT!$T$5:$AN$19,2,FALSE)</f>
        <v>1</v>
      </c>
      <c r="G6" s="405">
        <f>HLOOKUP(G$8,SUPPORT!$T$5:$AN$19,2,FALSE)</f>
        <v>2</v>
      </c>
      <c r="H6" s="405" t="str">
        <f>HLOOKUP(H$8,SUPPORT!$T$5:$AN$19,2,FALSE)</f>
        <v/>
      </c>
      <c r="I6" s="405" t="str">
        <f>HLOOKUP(I$8,SUPPORT!$T$5:$AN$19,2,FALSE)</f>
        <v/>
      </c>
      <c r="J6" s="405" t="str">
        <f>HLOOKUP(J$8,SUPPORT!$T$5:$AN$19,2,FALSE)</f>
        <v/>
      </c>
      <c r="K6" s="405" t="str">
        <f>HLOOKUP(K$8,SUPPORT!$T$5:$AN$19,2,FALSE)</f>
        <v/>
      </c>
      <c r="L6" s="405" t="str">
        <f>HLOOKUP(L$8,SUPPORT!$T$5:$AN$19,2,FALSE)</f>
        <v/>
      </c>
      <c r="M6" s="405" t="str">
        <f>HLOOKUP(M$8,SUPPORT!$T$5:$AN$19,2,FALSE)</f>
        <v/>
      </c>
      <c r="N6" s="405" t="str">
        <f>HLOOKUP(N$8,SUPPORT!$T$5:$AN$19,2,FALSE)</f>
        <v/>
      </c>
      <c r="O6" s="405" t="str">
        <f>HLOOKUP(O$8,SUPPORT!$T$5:$AN$19,2,FALSE)</f>
        <v/>
      </c>
      <c r="P6" s="405" t="str">
        <f>HLOOKUP(P$8,SUPPORT!$T$5:$AN$19,2,FALSE)</f>
        <v/>
      </c>
      <c r="Q6" s="405" t="str">
        <f>HLOOKUP(Q$8,SUPPORT!$T$5:$AN$19,2,FALSE)</f>
        <v/>
      </c>
      <c r="R6" s="405" t="e">
        <f>HLOOKUP(R$8,SUPPORT!$T$5:$AN$19,2,FALSE)</f>
        <v>#N/A</v>
      </c>
      <c r="S6" s="405" t="e">
        <f>HLOOKUP(S$8,SUPPORT!$T$5:$AN$19,2,FALSE)</f>
        <v>#N/A</v>
      </c>
      <c r="T6" s="405" t="e">
        <f>HLOOKUP(T$8,SUPPORT!$T$5:$AN$19,2,FALSE)</f>
        <v>#N/A</v>
      </c>
      <c r="U6" s="405" t="e">
        <f>HLOOKUP(U$8,SUPPORT!$T$5:$AN$19,2,FALSE)</f>
        <v>#N/A</v>
      </c>
      <c r="V6" s="405" t="e">
        <f>HLOOKUP(V$8,SUPPORT!$T$5:$AN$19,2,FALSE)</f>
        <v>#N/A</v>
      </c>
      <c r="W6" s="405" t="e">
        <f>HLOOKUP(W$8,SUPPORT!$T$5:$AN$19,2,FALSE)</f>
        <v>#N/A</v>
      </c>
      <c r="X6" s="405" t="e">
        <f>HLOOKUP(X$8,SUPPORT!$T$5:$AN$19,2,FALSE)</f>
        <v>#N/A</v>
      </c>
      <c r="Y6" s="406" t="e">
        <f>HLOOKUP(Y$8,SUPPORT!$T$5:$AN$19,2,FALSE)</f>
        <v>#N/A</v>
      </c>
      <c r="Z6" s="398"/>
    </row>
    <row r="7" spans="1:27" ht="12.75" customHeight="1" x14ac:dyDescent="0.2">
      <c r="A7" s="387"/>
      <c r="B7" s="527"/>
      <c r="C7" s="407"/>
      <c r="D7" s="404" t="s">
        <v>138</v>
      </c>
      <c r="E7" s="408" t="str">
        <f>HLOOKUP(E$8,SUPPORT!$T$5:$AN$19,3,FALSE)</f>
        <v/>
      </c>
      <c r="F7" s="408" t="str">
        <f>HLOOKUP(F$8,SUPPORT!$T$5:$AN$19,3,FALSE)</f>
        <v/>
      </c>
      <c r="G7" s="408" t="str">
        <f>HLOOKUP(G$8,SUPPORT!$T$5:$AN$19,3,FALSE)</f>
        <v/>
      </c>
      <c r="H7" s="408">
        <f>HLOOKUP(H$8,SUPPORT!$T$5:$AN$19,3,FALSE)</f>
        <v>0</v>
      </c>
      <c r="I7" s="408">
        <f>HLOOKUP(I$8,SUPPORT!$T$5:$AN$19,3,FALSE)</f>
        <v>1</v>
      </c>
      <c r="J7" s="408">
        <f>HLOOKUP(J$8,SUPPORT!$T$5:$AN$19,3,FALSE)</f>
        <v>2</v>
      </c>
      <c r="K7" s="408">
        <f>HLOOKUP(K$8,SUPPORT!$T$5:$AN$19,3,FALSE)</f>
        <v>3</v>
      </c>
      <c r="L7" s="408">
        <f>HLOOKUP(L$8,SUPPORT!$T$5:$AN$19,3,FALSE)</f>
        <v>4</v>
      </c>
      <c r="M7" s="408">
        <f>HLOOKUP(M$8,SUPPORT!$T$5:$AN$19,3,FALSE)</f>
        <v>5</v>
      </c>
      <c r="N7" s="408">
        <f>HLOOKUP(N$8,SUPPORT!$T$5:$AN$19,3,FALSE)</f>
        <v>6</v>
      </c>
      <c r="O7" s="408">
        <f>HLOOKUP(O$8,SUPPORT!$T$5:$AN$19,3,FALSE)</f>
        <v>7</v>
      </c>
      <c r="P7" s="408">
        <f>HLOOKUP(P$8,SUPPORT!$T$5:$AN$19,3,FALSE)</f>
        <v>8</v>
      </c>
      <c r="Q7" s="408">
        <f>HLOOKUP(Q$8,SUPPORT!$T$5:$AN$19,3,FALSE)</f>
        <v>9</v>
      </c>
      <c r="R7" s="408" t="e">
        <f>HLOOKUP(R$8,SUPPORT!$T$5:$AN$19,3,FALSE)</f>
        <v>#N/A</v>
      </c>
      <c r="S7" s="408" t="e">
        <f>HLOOKUP(S$8,SUPPORT!$T$5:$AN$19,3,FALSE)</f>
        <v>#N/A</v>
      </c>
      <c r="T7" s="408" t="e">
        <f>HLOOKUP(T$8,SUPPORT!$T$5:$AN$19,3,FALSE)</f>
        <v>#N/A</v>
      </c>
      <c r="U7" s="408" t="e">
        <f>HLOOKUP(U$8,SUPPORT!$T$5:$AN$19,3,FALSE)</f>
        <v>#N/A</v>
      </c>
      <c r="V7" s="408" t="e">
        <f>HLOOKUP(V$8,SUPPORT!$T$5:$AN$19,3,FALSE)</f>
        <v>#N/A</v>
      </c>
      <c r="W7" s="408" t="e">
        <f>HLOOKUP(W$8,SUPPORT!$T$5:$AN$19,3,FALSE)</f>
        <v>#N/A</v>
      </c>
      <c r="X7" s="408" t="e">
        <f>HLOOKUP(X$8,SUPPORT!$T$5:$AN$19,3,FALSE)</f>
        <v>#N/A</v>
      </c>
      <c r="Y7" s="408" t="e">
        <f>HLOOKUP(Y$8,SUPPORT!$T$5:$AN$19,3,FALSE)</f>
        <v>#N/A</v>
      </c>
      <c r="Z7" s="398"/>
    </row>
    <row r="8" spans="1:27" x14ac:dyDescent="0.2">
      <c r="A8" s="387"/>
      <c r="B8" s="527"/>
      <c r="C8" s="409"/>
      <c r="D8" s="410" t="s">
        <v>122</v>
      </c>
      <c r="E8" s="411">
        <f>HLOOKUP(0,SUPPORT!$T$5:$AN$19,1,FALSE)</f>
        <v>0</v>
      </c>
      <c r="F8" s="411">
        <f>IFERROR(HLOOKUP(E8+1,SUPPORT!$T$5:$AN$19,1,FALSE)," ")</f>
        <v>1</v>
      </c>
      <c r="G8" s="411">
        <f>IFERROR(HLOOKUP(F8+1,SUPPORT!$T$5:$AN$19,1,FALSE)," ")</f>
        <v>2</v>
      </c>
      <c r="H8" s="411">
        <f>IFERROR(HLOOKUP(G8+1,SUPPORT!$T$5:$AN$19,1,FALSE)," ")</f>
        <v>3</v>
      </c>
      <c r="I8" s="411">
        <f>IFERROR(HLOOKUP(H8+1,SUPPORT!$T$5:$AN$19,1,FALSE)," ")</f>
        <v>4</v>
      </c>
      <c r="J8" s="411">
        <f>IFERROR(HLOOKUP(I8+1,SUPPORT!$T$5:$AN$19,1,FALSE)," ")</f>
        <v>5</v>
      </c>
      <c r="K8" s="411">
        <f>IFERROR(HLOOKUP(J8+1,SUPPORT!$T$5:$AN$19,1,FALSE)," ")</f>
        <v>6</v>
      </c>
      <c r="L8" s="411">
        <f>IFERROR(HLOOKUP(K8+1,SUPPORT!$T$5:$AN$19,1,FALSE)," ")</f>
        <v>7</v>
      </c>
      <c r="M8" s="411">
        <f>IFERROR(HLOOKUP(L8+1,SUPPORT!$T$5:$AN$19,1,FALSE)," ")</f>
        <v>8</v>
      </c>
      <c r="N8" s="411">
        <f>IFERROR(HLOOKUP(M8+1,SUPPORT!$T$5:$AN$19,1,FALSE)," ")</f>
        <v>9</v>
      </c>
      <c r="O8" s="411">
        <f>IFERROR(HLOOKUP(N8+1,SUPPORT!$T$5:$AN$19,1,FALSE)," ")</f>
        <v>10</v>
      </c>
      <c r="P8" s="411">
        <f>IFERROR(HLOOKUP(O8+1,SUPPORT!$T$5:$AN$19,1,FALSE)," ")</f>
        <v>11</v>
      </c>
      <c r="Q8" s="411">
        <f>IFERROR(HLOOKUP(P8+1,SUPPORT!$T$5:$AN$19,1,FALSE)," ")</f>
        <v>12</v>
      </c>
      <c r="R8" s="411" t="str">
        <f>IFERROR(HLOOKUP(Q8+1,SUPPORT!$T$5:$AN$19,1,FALSE)," ")</f>
        <v xml:space="preserve"> </v>
      </c>
      <c r="S8" s="411" t="str">
        <f>IFERROR(HLOOKUP(R8+1,SUPPORT!$T$5:$AN$19,1,FALSE)," ")</f>
        <v xml:space="preserve"> </v>
      </c>
      <c r="T8" s="411" t="str">
        <f>IFERROR(HLOOKUP(S8+1,SUPPORT!$T$5:$AN$19,1,FALSE)," ")</f>
        <v xml:space="preserve"> </v>
      </c>
      <c r="U8" s="411" t="str">
        <f>IFERROR(HLOOKUP(T8+1,SUPPORT!$T$5:$AN$19,1,FALSE)," ")</f>
        <v xml:space="preserve"> </v>
      </c>
      <c r="V8" s="411" t="str">
        <f>IFERROR(HLOOKUP(U8+1,SUPPORT!$T$5:$AN$19,1,FALSE)," ")</f>
        <v xml:space="preserve"> </v>
      </c>
      <c r="W8" s="411" t="str">
        <f>IFERROR(HLOOKUP(V8+1,SUPPORT!$T$5:$AN$19,1,FALSE)," ")</f>
        <v xml:space="preserve"> </v>
      </c>
      <c r="X8" s="411" t="str">
        <f>IFERROR(HLOOKUP(W8+1,SUPPORT!$T$5:$AN$19,1,FALSE)," ")</f>
        <v xml:space="preserve"> </v>
      </c>
      <c r="Y8" s="411" t="str">
        <f>IFERROR(HLOOKUP(X8+1,SUPPORT!$T$5:$AN$19,1,FALSE)," ")</f>
        <v xml:space="preserve"> </v>
      </c>
      <c r="Z8" s="398"/>
      <c r="AA8" s="40"/>
    </row>
    <row r="9" spans="1:27" x14ac:dyDescent="0.2">
      <c r="A9" s="387"/>
      <c r="B9" s="527"/>
      <c r="C9" s="531" t="s">
        <v>117</v>
      </c>
      <c r="D9" s="412" t="s">
        <v>114</v>
      </c>
      <c r="E9" s="374">
        <f>HLOOKUP(E$8,SUPPORT!$T$5:$AN$19,4,FALSE)</f>
        <v>0</v>
      </c>
      <c r="F9" s="374">
        <f>HLOOKUP(F$8,SUPPORT!$T$5:$AN$19,4,FALSE)</f>
        <v>0</v>
      </c>
      <c r="G9" s="374">
        <f>HLOOKUP(G$8,SUPPORT!$T$5:$AN$19,4,FALSE)</f>
        <v>0</v>
      </c>
      <c r="H9" s="374">
        <f>HLOOKUP(H$8,SUPPORT!$T$5:$AN$19,4,FALSE)</f>
        <v>18000</v>
      </c>
      <c r="I9" s="374">
        <f>HLOOKUP(I$8,SUPPORT!$T$5:$AN$19,4,FALSE)</f>
        <v>183600</v>
      </c>
      <c r="J9" s="374">
        <f>HLOOKUP(J$8,SUPPORT!$T$5:$AN$19,4,FALSE)</f>
        <v>374544</v>
      </c>
      <c r="K9" s="374">
        <f>HLOOKUP(K$8,SUPPORT!$T$5:$AN$19,4,FALSE)</f>
        <v>420238.36799999996</v>
      </c>
      <c r="L9" s="374">
        <f>HLOOKUP(L$8,SUPPORT!$T$5:$AN$19,4,FALSE)</f>
        <v>584513.36639999994</v>
      </c>
      <c r="M9" s="374">
        <f>HLOOKUP(M$8,SUPPORT!$T$5:$AN$19,4,FALSE)</f>
        <v>794938.17830400006</v>
      </c>
      <c r="N9" s="374">
        <f>HLOOKUP(N$8,SUPPORT!$T$5:$AN$19,4,FALSE)</f>
        <v>1114900.79507136</v>
      </c>
      <c r="O9" s="374">
        <f>HLOOKUP(O$8,SUPPORT!$T$5:$AN$19,4,FALSE)</f>
        <v>1240580.5210612223</v>
      </c>
      <c r="P9" s="374">
        <f>HLOOKUP(P$8,SUPPORT!$T$5:$AN$19,4,FALSE)</f>
        <v>1265392.1314824468</v>
      </c>
      <c r="Q9" s="374">
        <f>HLOOKUP(Q$8,SUPPORT!$T$5:$AN$19,4,FALSE)</f>
        <v>1183141.6429360877</v>
      </c>
      <c r="R9" s="374" t="e">
        <f>HLOOKUP(R$8,SUPPORT!$T$5:$AN$19,4,FALSE)</f>
        <v>#N/A</v>
      </c>
      <c r="S9" s="374" t="e">
        <f>HLOOKUP(S$8,SUPPORT!$T$5:$AN$19,4,FALSE)</f>
        <v>#N/A</v>
      </c>
      <c r="T9" s="374" t="e">
        <f>HLOOKUP(T$8,SUPPORT!$T$5:$AN$19,4,FALSE)</f>
        <v>#N/A</v>
      </c>
      <c r="U9" s="374" t="e">
        <f>HLOOKUP(U$8,SUPPORT!$T$5:$AN$19,4,FALSE)</f>
        <v>#N/A</v>
      </c>
      <c r="V9" s="374" t="e">
        <f>HLOOKUP(V$8,SUPPORT!$T$5:$AN$19,4,FALSE)</f>
        <v>#N/A</v>
      </c>
      <c r="W9" s="374" t="e">
        <f>HLOOKUP(W$8,SUPPORT!$T$5:$AN$19,4,FALSE)</f>
        <v>#N/A</v>
      </c>
      <c r="X9" s="374" t="e">
        <f>HLOOKUP(X$8,SUPPORT!$T$5:$AN$19,4,FALSE)</f>
        <v>#N/A</v>
      </c>
      <c r="Y9" s="374" t="e">
        <f>HLOOKUP(Y$8,SUPPORT!$T$5:$AN$19,4,FALSE)</f>
        <v>#N/A</v>
      </c>
      <c r="Z9" s="398"/>
    </row>
    <row r="10" spans="1:27" x14ac:dyDescent="0.2">
      <c r="A10" s="387"/>
      <c r="B10" s="527"/>
      <c r="C10" s="532"/>
      <c r="D10" s="413" t="s">
        <v>115</v>
      </c>
      <c r="E10" s="375">
        <f>HLOOKUP(E$8,SUPPORT!$T$5:$AN$19,5,FALSE)</f>
        <v>0</v>
      </c>
      <c r="F10" s="375">
        <f>HLOOKUP(F$8,SUPPORT!$T$5:$AN$19,5,FALSE)</f>
        <v>0</v>
      </c>
      <c r="G10" s="375">
        <f>HLOOKUP(G$8,SUPPORT!$T$5:$AN$19,5,FALSE)</f>
        <v>0</v>
      </c>
      <c r="H10" s="375">
        <f>HLOOKUP(H$8,SUPPORT!$T$5:$AN$19,5,FALSE)</f>
        <v>1500</v>
      </c>
      <c r="I10" s="375">
        <f>HLOOKUP(I$8,SUPPORT!$T$5:$AN$19,5,FALSE)</f>
        <v>15300</v>
      </c>
      <c r="J10" s="375">
        <f>HLOOKUP(J$8,SUPPORT!$T$5:$AN$19,5,FALSE)</f>
        <v>31212</v>
      </c>
      <c r="K10" s="375">
        <f>HLOOKUP(K$8,SUPPORT!$T$5:$AN$19,5,FALSE)</f>
        <v>35019.863999999994</v>
      </c>
      <c r="L10" s="375">
        <f>HLOOKUP(L$8,SUPPORT!$T$5:$AN$19,5,FALSE)</f>
        <v>48709.447200000002</v>
      </c>
      <c r="M10" s="375">
        <f>HLOOKUP(M$8,SUPPORT!$T$5:$AN$19,5,FALSE)</f>
        <v>66244.848192000005</v>
      </c>
      <c r="N10" s="375">
        <f>HLOOKUP(N$8,SUPPORT!$T$5:$AN$19,5,FALSE)</f>
        <v>92908.399589280001</v>
      </c>
      <c r="O10" s="375">
        <f>HLOOKUP(O$8,SUPPORT!$T$5:$AN$19,5,FALSE)</f>
        <v>103381.71008843518</v>
      </c>
      <c r="P10" s="375">
        <f>HLOOKUP(P$8,SUPPORT!$T$5:$AN$19,5,FALSE)</f>
        <v>105449.3442902039</v>
      </c>
      <c r="Q10" s="375">
        <f>HLOOKUP(Q$8,SUPPORT!$T$5:$AN$19,5,FALSE)</f>
        <v>98595.13691134064</v>
      </c>
      <c r="R10" s="375" t="e">
        <f>HLOOKUP(R$8,SUPPORT!$T$5:$AN$19,5,FALSE)</f>
        <v>#N/A</v>
      </c>
      <c r="S10" s="375" t="e">
        <f>HLOOKUP(S$8,SUPPORT!$T$5:$AN$19,5,FALSE)</f>
        <v>#N/A</v>
      </c>
      <c r="T10" s="375" t="e">
        <f>HLOOKUP(T$8,SUPPORT!$T$5:$AN$19,5,FALSE)</f>
        <v>#N/A</v>
      </c>
      <c r="U10" s="375" t="e">
        <f>HLOOKUP(U$8,SUPPORT!$T$5:$AN$19,5,FALSE)</f>
        <v>#N/A</v>
      </c>
      <c r="V10" s="375" t="e">
        <f>HLOOKUP(V$8,SUPPORT!$T$5:$AN$19,5,FALSE)</f>
        <v>#N/A</v>
      </c>
      <c r="W10" s="375" t="e">
        <f>HLOOKUP(W$8,SUPPORT!$T$5:$AN$19,5,FALSE)</f>
        <v>#N/A</v>
      </c>
      <c r="X10" s="375" t="e">
        <f>HLOOKUP(X$8,SUPPORT!$T$5:$AN$19,5,FALSE)</f>
        <v>#N/A</v>
      </c>
      <c r="Y10" s="375" t="e">
        <f>HLOOKUP(Y$8,SUPPORT!$T$5:$AN$19,5,FALSE)</f>
        <v>#N/A</v>
      </c>
      <c r="Z10" s="398"/>
    </row>
    <row r="11" spans="1:27" x14ac:dyDescent="0.2">
      <c r="A11" s="387"/>
      <c r="B11" s="527"/>
      <c r="C11" s="532"/>
      <c r="D11" s="413" t="s">
        <v>116</v>
      </c>
      <c r="E11" s="375">
        <f>HLOOKUP(E$8,SUPPORT!$T$5:$AN$19,6,FALSE)</f>
        <v>0</v>
      </c>
      <c r="F11" s="375">
        <f>HLOOKUP(F$8,SUPPORT!$T$5:$AN$19,6,FALSE)</f>
        <v>0</v>
      </c>
      <c r="G11" s="375">
        <f>HLOOKUP(G$8,SUPPORT!$T$5:$AN$19,6,FALSE)</f>
        <v>0</v>
      </c>
      <c r="H11" s="375">
        <f>HLOOKUP(H$8,SUPPORT!$T$5:$AN$19,6,FALSE)</f>
        <v>12000</v>
      </c>
      <c r="I11" s="375">
        <f>HLOOKUP(I$8,SUPPORT!$T$5:$AN$19,6,FALSE)</f>
        <v>133416</v>
      </c>
      <c r="J11" s="375">
        <f>HLOOKUP(J$8,SUPPORT!$T$5:$AN$19,6,FALSE)</f>
        <v>372171.88799999998</v>
      </c>
      <c r="K11" s="375">
        <f>HLOOKUP(K$8,SUPPORT!$T$5:$AN$19,6,FALSE)</f>
        <v>621812.70518399996</v>
      </c>
      <c r="L11" s="375">
        <f>HLOOKUP(L$8,SUPPORT!$T$5:$AN$19,6,FALSE)</f>
        <v>960499.64095891209</v>
      </c>
      <c r="M11" s="375">
        <f>HLOOKUP(M$8,SUPPORT!$T$5:$AN$19,6,FALSE)</f>
        <v>1411697.4559362815</v>
      </c>
      <c r="N11" s="375">
        <f>HLOOKUP(N$8,SUPPORT!$T$5:$AN$19,6,FALSE)</f>
        <v>2039205.4612637467</v>
      </c>
      <c r="O11" s="375">
        <f>HLOOKUP(O$8,SUPPORT!$T$5:$AN$19,6,FALSE)</f>
        <v>2699044.2941476004</v>
      </c>
      <c r="P11" s="375">
        <f>HLOOKUP(P$8,SUPPORT!$T$5:$AN$19,6,FALSE)</f>
        <v>3321317.4163491284</v>
      </c>
      <c r="Q11" s="375">
        <f>HLOOKUP(Q$8,SUPPORT!$T$5:$AN$19,6,FALSE)</f>
        <v>3837730.4834992252</v>
      </c>
      <c r="R11" s="375" t="e">
        <f>HLOOKUP(R$8,SUPPORT!$T$5:$AN$19,6,FALSE)</f>
        <v>#N/A</v>
      </c>
      <c r="S11" s="375" t="e">
        <f>HLOOKUP(S$8,SUPPORT!$T$5:$AN$19,6,FALSE)</f>
        <v>#N/A</v>
      </c>
      <c r="T11" s="375" t="e">
        <f>HLOOKUP(T$8,SUPPORT!$T$5:$AN$19,6,FALSE)</f>
        <v>#N/A</v>
      </c>
      <c r="U11" s="375" t="e">
        <f>HLOOKUP(U$8,SUPPORT!$T$5:$AN$19,6,FALSE)</f>
        <v>#N/A</v>
      </c>
      <c r="V11" s="375" t="e">
        <f>HLOOKUP(V$8,SUPPORT!$T$5:$AN$19,6,FALSE)</f>
        <v>#N/A</v>
      </c>
      <c r="W11" s="375" t="e">
        <f>HLOOKUP(W$8,SUPPORT!$T$5:$AN$19,6,FALSE)</f>
        <v>#N/A</v>
      </c>
      <c r="X11" s="375" t="e">
        <f>HLOOKUP(X$8,SUPPORT!$T$5:$AN$19,6,FALSE)</f>
        <v>#N/A</v>
      </c>
      <c r="Y11" s="375" t="e">
        <f>HLOOKUP(Y$8,SUPPORT!$T$5:$AN$19,6,FALSE)</f>
        <v>#N/A</v>
      </c>
      <c r="Z11" s="398"/>
    </row>
    <row r="12" spans="1:27" x14ac:dyDescent="0.2">
      <c r="A12" s="387"/>
      <c r="B12" s="527"/>
      <c r="C12" s="414" t="s">
        <v>118</v>
      </c>
      <c r="D12" s="415" t="s">
        <v>118</v>
      </c>
      <c r="E12" s="376">
        <f>IF(E8="","",+SUM(E9:E11))</f>
        <v>0</v>
      </c>
      <c r="F12" s="376">
        <f>IF(F8="","",+SUM(F9:F11))</f>
        <v>0</v>
      </c>
      <c r="G12" s="376">
        <f t="shared" ref="G12:Y12" si="0">IF(G8="","",+SUM(G9:G11))</f>
        <v>0</v>
      </c>
      <c r="H12" s="376">
        <f t="shared" si="0"/>
        <v>31500</v>
      </c>
      <c r="I12" s="376">
        <f t="shared" si="0"/>
        <v>332316</v>
      </c>
      <c r="J12" s="376">
        <f t="shared" si="0"/>
        <v>777927.88800000004</v>
      </c>
      <c r="K12" s="376">
        <f t="shared" si="0"/>
        <v>1077070.9371839999</v>
      </c>
      <c r="L12" s="376">
        <f t="shared" si="0"/>
        <v>1593722.4545589122</v>
      </c>
      <c r="M12" s="376">
        <f t="shared" si="0"/>
        <v>2272880.4824322816</v>
      </c>
      <c r="N12" s="376">
        <f t="shared" si="0"/>
        <v>3247014.6559243863</v>
      </c>
      <c r="O12" s="376">
        <f t="shared" si="0"/>
        <v>4043006.525297258</v>
      </c>
      <c r="P12" s="376">
        <f t="shared" si="0"/>
        <v>4692158.8921217788</v>
      </c>
      <c r="Q12" s="376">
        <f t="shared" si="0"/>
        <v>5119467.2633466534</v>
      </c>
      <c r="R12" s="376" t="e">
        <f t="shared" si="0"/>
        <v>#N/A</v>
      </c>
      <c r="S12" s="376" t="e">
        <f t="shared" si="0"/>
        <v>#N/A</v>
      </c>
      <c r="T12" s="376" t="e">
        <f t="shared" si="0"/>
        <v>#N/A</v>
      </c>
      <c r="U12" s="376" t="e">
        <f t="shared" si="0"/>
        <v>#N/A</v>
      </c>
      <c r="V12" s="376" t="e">
        <f t="shared" si="0"/>
        <v>#N/A</v>
      </c>
      <c r="W12" s="376" t="e">
        <f t="shared" si="0"/>
        <v>#N/A</v>
      </c>
      <c r="X12" s="376" t="e">
        <f t="shared" si="0"/>
        <v>#N/A</v>
      </c>
      <c r="Y12" s="376" t="e">
        <f t="shared" si="0"/>
        <v>#N/A</v>
      </c>
      <c r="Z12" s="398"/>
    </row>
    <row r="13" spans="1:27" x14ac:dyDescent="0.2">
      <c r="A13" s="387"/>
      <c r="B13" s="527"/>
      <c r="C13" s="414" t="s">
        <v>164</v>
      </c>
      <c r="D13" s="416" t="s">
        <v>164</v>
      </c>
      <c r="E13" s="377">
        <f>HLOOKUP(E$8,SUPPORT!$T$5:$AN$19,7,FALSE)</f>
        <v>0</v>
      </c>
      <c r="F13" s="377">
        <f>HLOOKUP(F$8,SUPPORT!$T$5:$AN$19,7,FALSE)</f>
        <v>0</v>
      </c>
      <c r="G13" s="377">
        <f>HLOOKUP(G$8,SUPPORT!$T$5:$AN$19,7,FALSE)</f>
        <v>0</v>
      </c>
      <c r="H13" s="377">
        <f>HLOOKUP(H$8,SUPPORT!$T$5:$AN$19,7,FALSE)</f>
        <v>15000</v>
      </c>
      <c r="I13" s="377">
        <f>HLOOKUP(I$8,SUPPORT!$T$5:$AN$19,7,FALSE)</f>
        <v>153000</v>
      </c>
      <c r="J13" s="377">
        <f>HLOOKUP(J$8,SUPPORT!$T$5:$AN$19,7,FALSE)</f>
        <v>312120</v>
      </c>
      <c r="K13" s="377">
        <f>HLOOKUP(K$8,SUPPORT!$T$5:$AN$19,7,FALSE)</f>
        <v>350198.63999999996</v>
      </c>
      <c r="L13" s="377">
        <f>HLOOKUP(L$8,SUPPORT!$T$5:$AN$19,7,FALSE)</f>
        <v>487094.47200000001</v>
      </c>
      <c r="M13" s="377">
        <f>HLOOKUP(M$8,SUPPORT!$T$5:$AN$19,7,FALSE)</f>
        <v>662448.48192000005</v>
      </c>
      <c r="N13" s="377">
        <f>HLOOKUP(N$8,SUPPORT!$T$5:$AN$19,7,FALSE)</f>
        <v>929083.99589280004</v>
      </c>
      <c r="O13" s="377">
        <f>HLOOKUP(O$8,SUPPORT!$T$5:$AN$19,7,FALSE)</f>
        <v>1033817.1008843519</v>
      </c>
      <c r="P13" s="377">
        <f>HLOOKUP(P$8,SUPPORT!$T$5:$AN$19,7,FALSE)</f>
        <v>1054493.442902039</v>
      </c>
      <c r="Q13" s="377">
        <f>HLOOKUP(Q$8,SUPPORT!$T$5:$AN$19,7,FALSE)</f>
        <v>985951.3691134064</v>
      </c>
      <c r="R13" s="377" t="e">
        <f>HLOOKUP(R$8,SUPPORT!$T$5:$AN$19,7,FALSE)</f>
        <v>#N/A</v>
      </c>
      <c r="S13" s="377" t="e">
        <f>HLOOKUP(S$8,SUPPORT!$T$5:$AN$19,7,FALSE)</f>
        <v>#N/A</v>
      </c>
      <c r="T13" s="377" t="e">
        <f>HLOOKUP(T$8,SUPPORT!$T$5:$AN$19,7,FALSE)</f>
        <v>#N/A</v>
      </c>
      <c r="U13" s="377" t="e">
        <f>HLOOKUP(U$8,SUPPORT!$T$5:$AN$19,7,FALSE)</f>
        <v>#N/A</v>
      </c>
      <c r="V13" s="377" t="e">
        <f>HLOOKUP(V$8,SUPPORT!$T$5:$AN$19,7,FALSE)</f>
        <v>#N/A</v>
      </c>
      <c r="W13" s="377" t="e">
        <f>HLOOKUP(W$8,SUPPORT!$T$5:$AN$19,7,FALSE)</f>
        <v>#N/A</v>
      </c>
      <c r="X13" s="377" t="e">
        <f>HLOOKUP(X$8,SUPPORT!$T$5:$AN$19,7,FALSE)</f>
        <v>#N/A</v>
      </c>
      <c r="Y13" s="377" t="e">
        <f>HLOOKUP(Y$8,SUPPORT!$T$5:$AN$19,7,FALSE)</f>
        <v>#N/A</v>
      </c>
      <c r="Z13" s="398"/>
    </row>
    <row r="14" spans="1:27" x14ac:dyDescent="0.2">
      <c r="A14" s="387"/>
      <c r="B14" s="527"/>
      <c r="C14" s="531" t="s">
        <v>26</v>
      </c>
      <c r="D14" s="417" t="s">
        <v>131</v>
      </c>
      <c r="E14" s="375">
        <f>HLOOKUP(E$8,SUPPORT!$T$5:$AN$19,8,FALSE)</f>
        <v>0</v>
      </c>
      <c r="F14" s="375">
        <f>HLOOKUP(F$8,SUPPORT!$T$5:$AN$19,8,FALSE)</f>
        <v>0</v>
      </c>
      <c r="G14" s="375">
        <f>HLOOKUP(G$8,SUPPORT!$T$5:$AN$19,8,FALSE)</f>
        <v>0</v>
      </c>
      <c r="H14" s="375">
        <f>HLOOKUP(H$8,SUPPORT!$T$5:$AN$19,8,FALSE)</f>
        <v>50000</v>
      </c>
      <c r="I14" s="375">
        <f>HLOOKUP(I$8,SUPPORT!$T$5:$AN$19,8,FALSE)</f>
        <v>50000</v>
      </c>
      <c r="J14" s="375">
        <f>HLOOKUP(J$8,SUPPORT!$T$5:$AN$19,8,FALSE)</f>
        <v>50000</v>
      </c>
      <c r="K14" s="375">
        <f>HLOOKUP(K$8,SUPPORT!$T$5:$AN$19,8,FALSE)</f>
        <v>60000</v>
      </c>
      <c r="L14" s="375">
        <f>HLOOKUP(L$8,SUPPORT!$T$5:$AN$19,8,FALSE)</f>
        <v>60000</v>
      </c>
      <c r="M14" s="375">
        <f>HLOOKUP(M$8,SUPPORT!$T$5:$AN$19,8,FALSE)</f>
        <v>60000</v>
      </c>
      <c r="N14" s="375">
        <f>HLOOKUP(N$8,SUPPORT!$T$5:$AN$19,8,FALSE)</f>
        <v>60000</v>
      </c>
      <c r="O14" s="375">
        <f>HLOOKUP(O$8,SUPPORT!$T$5:$AN$19,8,FALSE)</f>
        <v>60000</v>
      </c>
      <c r="P14" s="375">
        <f>HLOOKUP(P$8,SUPPORT!$T$5:$AN$19,8,FALSE)</f>
        <v>60000</v>
      </c>
      <c r="Q14" s="375">
        <f>HLOOKUP(Q$8,SUPPORT!$T$5:$AN$19,8,FALSE)</f>
        <v>60000</v>
      </c>
      <c r="R14" s="375" t="e">
        <f>HLOOKUP(R$8,SUPPORT!$T$5:$AN$19,8,FALSE)</f>
        <v>#N/A</v>
      </c>
      <c r="S14" s="375" t="e">
        <f>HLOOKUP(S$8,SUPPORT!$T$5:$AN$19,8,FALSE)</f>
        <v>#N/A</v>
      </c>
      <c r="T14" s="375" t="e">
        <f>HLOOKUP(T$8,SUPPORT!$T$5:$AN$19,8,FALSE)</f>
        <v>#N/A</v>
      </c>
      <c r="U14" s="375" t="e">
        <f>HLOOKUP(U$8,SUPPORT!$T$5:$AN$19,8,FALSE)</f>
        <v>#N/A</v>
      </c>
      <c r="V14" s="375" t="e">
        <f>HLOOKUP(V$8,SUPPORT!$T$5:$AN$19,8,FALSE)</f>
        <v>#N/A</v>
      </c>
      <c r="W14" s="375" t="e">
        <f>HLOOKUP(W$8,SUPPORT!$T$5:$AN$19,8,FALSE)</f>
        <v>#N/A</v>
      </c>
      <c r="X14" s="375" t="e">
        <f>HLOOKUP(X$8,SUPPORT!$T$5:$AN$19,8,FALSE)</f>
        <v>#N/A</v>
      </c>
      <c r="Y14" s="375" t="e">
        <f>HLOOKUP(Y$8,SUPPORT!$T$5:$AN$19,8,FALSE)</f>
        <v>#N/A</v>
      </c>
      <c r="Z14" s="398"/>
    </row>
    <row r="15" spans="1:27" x14ac:dyDescent="0.2">
      <c r="A15" s="387"/>
      <c r="B15" s="527"/>
      <c r="C15" s="532"/>
      <c r="D15" s="417" t="s">
        <v>129</v>
      </c>
      <c r="E15" s="375">
        <f>HLOOKUP(E$8,SUPPORT!$T$5:$AN$19,9,FALSE)</f>
        <v>0</v>
      </c>
      <c r="F15" s="375">
        <f>HLOOKUP(F$8,SUPPORT!$T$5:$AN$19,9,FALSE)</f>
        <v>0</v>
      </c>
      <c r="G15" s="375">
        <f>HLOOKUP(G$8,SUPPORT!$T$5:$AN$19,9,FALSE)</f>
        <v>0</v>
      </c>
      <c r="H15" s="375">
        <f>HLOOKUP(H$8,SUPPORT!$T$5:$AN$19,9,FALSE)</f>
        <v>35000</v>
      </c>
      <c r="I15" s="375">
        <f>HLOOKUP(I$8,SUPPORT!$T$5:$AN$19,9,FALSE)</f>
        <v>35000</v>
      </c>
      <c r="J15" s="375">
        <f>HLOOKUP(J$8,SUPPORT!$T$5:$AN$19,9,FALSE)</f>
        <v>35000</v>
      </c>
      <c r="K15" s="375">
        <f>HLOOKUP(K$8,SUPPORT!$T$5:$AN$19,9,FALSE)</f>
        <v>35000</v>
      </c>
      <c r="L15" s="375">
        <f>HLOOKUP(L$8,SUPPORT!$T$5:$AN$19,9,FALSE)</f>
        <v>35000</v>
      </c>
      <c r="M15" s="375">
        <f>HLOOKUP(M$8,SUPPORT!$T$5:$AN$19,9,FALSE)</f>
        <v>35000</v>
      </c>
      <c r="N15" s="375">
        <f>HLOOKUP(N$8,SUPPORT!$T$5:$AN$19,9,FALSE)</f>
        <v>35000</v>
      </c>
      <c r="O15" s="375">
        <f>HLOOKUP(O$8,SUPPORT!$T$5:$AN$19,9,FALSE)</f>
        <v>35000</v>
      </c>
      <c r="P15" s="375">
        <f>HLOOKUP(P$8,SUPPORT!$T$5:$AN$19,9,FALSE)</f>
        <v>35000</v>
      </c>
      <c r="Q15" s="375">
        <f>HLOOKUP(Q$8,SUPPORT!$T$5:$AN$19,9,FALSE)</f>
        <v>35000</v>
      </c>
      <c r="R15" s="375" t="e">
        <f>HLOOKUP(R$8,SUPPORT!$T$5:$AN$19,9,FALSE)</f>
        <v>#N/A</v>
      </c>
      <c r="S15" s="375" t="e">
        <f>HLOOKUP(S$8,SUPPORT!$T$5:$AN$19,9,FALSE)</f>
        <v>#N/A</v>
      </c>
      <c r="T15" s="375" t="e">
        <f>HLOOKUP(T$8,SUPPORT!$T$5:$AN$19,9,FALSE)</f>
        <v>#N/A</v>
      </c>
      <c r="U15" s="375" t="e">
        <f>HLOOKUP(U$8,SUPPORT!$T$5:$AN$19,9,FALSE)</f>
        <v>#N/A</v>
      </c>
      <c r="V15" s="375" t="e">
        <f>HLOOKUP(V$8,SUPPORT!$T$5:$AN$19,9,FALSE)</f>
        <v>#N/A</v>
      </c>
      <c r="W15" s="375" t="e">
        <f>HLOOKUP(W$8,SUPPORT!$T$5:$AN$19,9,FALSE)</f>
        <v>#N/A</v>
      </c>
      <c r="X15" s="375" t="e">
        <f>HLOOKUP(X$8,SUPPORT!$T$5:$AN$19,9,FALSE)</f>
        <v>#N/A</v>
      </c>
      <c r="Y15" s="375" t="e">
        <f>HLOOKUP(Y$8,SUPPORT!$T$5:$AN$19,9,FALSE)</f>
        <v>#N/A</v>
      </c>
      <c r="Z15" s="398"/>
    </row>
    <row r="16" spans="1:27" x14ac:dyDescent="0.2">
      <c r="A16" s="387"/>
      <c r="B16" s="527"/>
      <c r="C16" s="532"/>
      <c r="D16" s="417" t="s">
        <v>130</v>
      </c>
      <c r="E16" s="375">
        <f>HLOOKUP(E$8,SUPPORT!$T$5:$AN$19,10,FALSE)</f>
        <v>0</v>
      </c>
      <c r="F16" s="375">
        <f>HLOOKUP(F$8,SUPPORT!$T$5:$AN$19,10,FALSE)</f>
        <v>0</v>
      </c>
      <c r="G16" s="375">
        <f>HLOOKUP(G$8,SUPPORT!$T$5:$AN$19,10,FALSE)</f>
        <v>0</v>
      </c>
      <c r="H16" s="375">
        <f>HLOOKUP(H$8,SUPPORT!$T$5:$AN$19,10,FALSE)</f>
        <v>25000</v>
      </c>
      <c r="I16" s="375">
        <f>HLOOKUP(I$8,SUPPORT!$T$5:$AN$19,10,FALSE)</f>
        <v>25000</v>
      </c>
      <c r="J16" s="375">
        <f>HLOOKUP(J$8,SUPPORT!$T$5:$AN$19,10,FALSE)</f>
        <v>25000</v>
      </c>
      <c r="K16" s="375">
        <f>HLOOKUP(K$8,SUPPORT!$T$5:$AN$19,10,FALSE)</f>
        <v>30000</v>
      </c>
      <c r="L16" s="375">
        <f>HLOOKUP(L$8,SUPPORT!$T$5:$AN$19,10,FALSE)</f>
        <v>30000</v>
      </c>
      <c r="M16" s="375">
        <f>HLOOKUP(M$8,SUPPORT!$T$5:$AN$19,10,FALSE)</f>
        <v>30000</v>
      </c>
      <c r="N16" s="375">
        <f>HLOOKUP(N$8,SUPPORT!$T$5:$AN$19,10,FALSE)</f>
        <v>30000</v>
      </c>
      <c r="O16" s="375">
        <f>HLOOKUP(O$8,SUPPORT!$T$5:$AN$19,10,FALSE)</f>
        <v>30000</v>
      </c>
      <c r="P16" s="375">
        <f>HLOOKUP(P$8,SUPPORT!$T$5:$AN$19,10,FALSE)</f>
        <v>30000</v>
      </c>
      <c r="Q16" s="375">
        <f>HLOOKUP(Q$8,SUPPORT!$T$5:$AN$19,10,FALSE)</f>
        <v>30000</v>
      </c>
      <c r="R16" s="375" t="e">
        <f>HLOOKUP(R$8,SUPPORT!$T$5:$AN$19,10,FALSE)</f>
        <v>#N/A</v>
      </c>
      <c r="S16" s="375" t="e">
        <f>HLOOKUP(S$8,SUPPORT!$T$5:$AN$19,10,FALSE)</f>
        <v>#N/A</v>
      </c>
      <c r="T16" s="375" t="e">
        <f>HLOOKUP(T$8,SUPPORT!$T$5:$AN$19,10,FALSE)</f>
        <v>#N/A</v>
      </c>
      <c r="U16" s="375" t="e">
        <f>HLOOKUP(U$8,SUPPORT!$T$5:$AN$19,10,FALSE)</f>
        <v>#N/A</v>
      </c>
      <c r="V16" s="375" t="e">
        <f>HLOOKUP(V$8,SUPPORT!$T$5:$AN$19,10,FALSE)</f>
        <v>#N/A</v>
      </c>
      <c r="W16" s="375" t="e">
        <f>HLOOKUP(W$8,SUPPORT!$T$5:$AN$19,10,FALSE)</f>
        <v>#N/A</v>
      </c>
      <c r="X16" s="375" t="e">
        <f>HLOOKUP(X$8,SUPPORT!$T$5:$AN$19,10,FALSE)</f>
        <v>#N/A</v>
      </c>
      <c r="Y16" s="375" t="e">
        <f>HLOOKUP(Y$8,SUPPORT!$T$5:$AN$19,10,FALSE)</f>
        <v>#N/A</v>
      </c>
      <c r="Z16" s="398"/>
    </row>
    <row r="17" spans="1:26" x14ac:dyDescent="0.2">
      <c r="A17" s="387"/>
      <c r="B17" s="527"/>
      <c r="C17" s="533"/>
      <c r="D17" s="418" t="s">
        <v>60</v>
      </c>
      <c r="E17" s="375">
        <f>HLOOKUP(E$8,SUPPORT!$T$5:$AN$19,11,FALSE)</f>
        <v>0</v>
      </c>
      <c r="F17" s="375">
        <f>HLOOKUP(F$8,SUPPORT!$T$5:$AN$19,11,FALSE)</f>
        <v>0</v>
      </c>
      <c r="G17" s="375">
        <f>HLOOKUP(G$8,SUPPORT!$T$5:$AN$19,11,FALSE)</f>
        <v>0</v>
      </c>
      <c r="H17" s="375">
        <f>HLOOKUP(H$8,SUPPORT!$T$5:$AN$19,11,FALSE)</f>
        <v>0</v>
      </c>
      <c r="I17" s="375">
        <f>HLOOKUP(I$8,SUPPORT!$T$5:$AN$19,11,FALSE)</f>
        <v>0</v>
      </c>
      <c r="J17" s="375">
        <f>HLOOKUP(J$8,SUPPORT!$T$5:$AN$19,11,FALSE)</f>
        <v>0</v>
      </c>
      <c r="K17" s="375">
        <f>HLOOKUP(K$8,SUPPORT!$T$5:$AN$19,11,FALSE)</f>
        <v>0</v>
      </c>
      <c r="L17" s="375">
        <f>HLOOKUP(L$8,SUPPORT!$T$5:$AN$19,11,FALSE)</f>
        <v>0</v>
      </c>
      <c r="M17" s="375">
        <f>HLOOKUP(M$8,SUPPORT!$T$5:$AN$19,11,FALSE)</f>
        <v>0</v>
      </c>
      <c r="N17" s="375">
        <f>HLOOKUP(N$8,SUPPORT!$T$5:$AN$19,11,FALSE)</f>
        <v>0</v>
      </c>
      <c r="O17" s="375">
        <f>HLOOKUP(O$8,SUPPORT!$T$5:$AN$19,11,FALSE)</f>
        <v>0</v>
      </c>
      <c r="P17" s="375">
        <f>HLOOKUP(P$8,SUPPORT!$T$5:$AN$19,11,FALSE)</f>
        <v>0</v>
      </c>
      <c r="Q17" s="375">
        <f>HLOOKUP(Q$8,SUPPORT!$T$5:$AN$19,11,FALSE)</f>
        <v>0</v>
      </c>
      <c r="R17" s="375" t="e">
        <f>HLOOKUP(R$8,SUPPORT!$T$5:$AN$19,11,FALSE)</f>
        <v>#N/A</v>
      </c>
      <c r="S17" s="375" t="e">
        <f>HLOOKUP(S$8,SUPPORT!$T$5:$AN$19,11,FALSE)</f>
        <v>#N/A</v>
      </c>
      <c r="T17" s="375" t="e">
        <f>HLOOKUP(T$8,SUPPORT!$T$5:$AN$19,11,FALSE)</f>
        <v>#N/A</v>
      </c>
      <c r="U17" s="375" t="e">
        <f>HLOOKUP(U$8,SUPPORT!$T$5:$AN$19,11,FALSE)</f>
        <v>#N/A</v>
      </c>
      <c r="V17" s="375" t="e">
        <f>HLOOKUP(V$8,SUPPORT!$T$5:$AN$19,11,FALSE)</f>
        <v>#N/A</v>
      </c>
      <c r="W17" s="375" t="e">
        <f>HLOOKUP(W$8,SUPPORT!$T$5:$AN$19,11,FALSE)</f>
        <v>#N/A</v>
      </c>
      <c r="X17" s="375" t="e">
        <f>HLOOKUP(X$8,SUPPORT!$T$5:$AN$19,11,FALSE)</f>
        <v>#N/A</v>
      </c>
      <c r="Y17" s="375" t="e">
        <f>HLOOKUP(Y$8,SUPPORT!$T$5:$AN$19,11,FALSE)</f>
        <v>#N/A</v>
      </c>
      <c r="Z17" s="398"/>
    </row>
    <row r="18" spans="1:26" x14ac:dyDescent="0.2">
      <c r="A18" s="387"/>
      <c r="B18" s="527"/>
      <c r="C18" s="531" t="s">
        <v>101</v>
      </c>
      <c r="D18" s="419" t="s">
        <v>111</v>
      </c>
      <c r="E18" s="378">
        <f>HLOOKUP(E$8,SUPPORT!$T$5:$AN$19,12,FALSE)</f>
        <v>1355813.9534883723</v>
      </c>
      <c r="F18" s="378">
        <f>HLOOKUP(F$8,SUPPORT!$T$5:$AN$19,12,FALSE)</f>
        <v>944186.04651162785</v>
      </c>
      <c r="G18" s="378">
        <f>HLOOKUP(G$8,SUPPORT!$T$5:$AN$19,12,FALSE)</f>
        <v>600000</v>
      </c>
      <c r="H18" s="378">
        <f>HLOOKUP(H$8,SUPPORT!$T$5:$AN$19,12,FALSE)</f>
        <v>0</v>
      </c>
      <c r="I18" s="378">
        <f>HLOOKUP(I$8,SUPPORT!$T$5:$AN$19,12,FALSE)</f>
        <v>0</v>
      </c>
      <c r="J18" s="378">
        <f>HLOOKUP(J$8,SUPPORT!$T$5:$AN$19,12,FALSE)</f>
        <v>0</v>
      </c>
      <c r="K18" s="378">
        <f>HLOOKUP(K$8,SUPPORT!$T$5:$AN$19,12,FALSE)</f>
        <v>0</v>
      </c>
      <c r="L18" s="378">
        <f>HLOOKUP(L$8,SUPPORT!$T$5:$AN$19,12,FALSE)</f>
        <v>0</v>
      </c>
      <c r="M18" s="378">
        <f>HLOOKUP(M$8,SUPPORT!$T$5:$AN$19,12,FALSE)</f>
        <v>0</v>
      </c>
      <c r="N18" s="378">
        <f>HLOOKUP(N$8,SUPPORT!$T$5:$AN$19,12,FALSE)</f>
        <v>0</v>
      </c>
      <c r="O18" s="378">
        <f>HLOOKUP(O$8,SUPPORT!$T$5:$AN$19,12,FALSE)</f>
        <v>0</v>
      </c>
      <c r="P18" s="378">
        <f>HLOOKUP(P$8,SUPPORT!$T$5:$AN$19,12,FALSE)</f>
        <v>0</v>
      </c>
      <c r="Q18" s="378">
        <f>HLOOKUP(Q$8,SUPPORT!$T$5:$AN$19,12,FALSE)</f>
        <v>0</v>
      </c>
      <c r="R18" s="378" t="e">
        <f>HLOOKUP(R$8,SUPPORT!$T$5:$AN$19,12,FALSE)</f>
        <v>#N/A</v>
      </c>
      <c r="S18" s="378" t="e">
        <f>HLOOKUP(S$8,SUPPORT!$T$5:$AN$19,12,FALSE)</f>
        <v>#N/A</v>
      </c>
      <c r="T18" s="378" t="e">
        <f>HLOOKUP(T$8,SUPPORT!$T$5:$AN$19,12,FALSE)</f>
        <v>#N/A</v>
      </c>
      <c r="U18" s="378" t="e">
        <f>HLOOKUP(U$8,SUPPORT!$T$5:$AN$19,12,FALSE)</f>
        <v>#N/A</v>
      </c>
      <c r="V18" s="378" t="e">
        <f>HLOOKUP(V$8,SUPPORT!$T$5:$AN$19,12,FALSE)</f>
        <v>#N/A</v>
      </c>
      <c r="W18" s="378" t="e">
        <f>HLOOKUP(W$8,SUPPORT!$T$5:$AN$19,12,FALSE)</f>
        <v>#N/A</v>
      </c>
      <c r="X18" s="378" t="e">
        <f>HLOOKUP(X$8,SUPPORT!$T$5:$AN$19,12,FALSE)</f>
        <v>#N/A</v>
      </c>
      <c r="Y18" s="378" t="e">
        <f>HLOOKUP(Y$8,SUPPORT!$T$5:$AN$19,12,FALSE)</f>
        <v>#N/A</v>
      </c>
      <c r="Z18" s="398"/>
    </row>
    <row r="19" spans="1:26" x14ac:dyDescent="0.2">
      <c r="A19" s="387"/>
      <c r="B19" s="527"/>
      <c r="C19" s="532"/>
      <c r="D19" s="420" t="s">
        <v>113</v>
      </c>
      <c r="E19" s="379">
        <f>HLOOKUP(E$8,SUPPORT!$T$5:$AN$19,13,FALSE)</f>
        <v>-891860.46511627908</v>
      </c>
      <c r="F19" s="380">
        <f>HLOOKUP(F$8,SUPPORT!$T$5:$AN$19,13,FALSE)</f>
        <v>-508139.53488372092</v>
      </c>
      <c r="G19" s="380">
        <f>HLOOKUP(G$8,SUPPORT!$T$5:$AN$19,13,FALSE)</f>
        <v>-300000</v>
      </c>
      <c r="H19" s="380">
        <f>HLOOKUP(H$8,SUPPORT!$T$5:$AN$19,13,FALSE)</f>
        <v>0</v>
      </c>
      <c r="I19" s="380">
        <f>HLOOKUP(I$8,SUPPORT!$T$5:$AN$19,13,FALSE)</f>
        <v>0</v>
      </c>
      <c r="J19" s="380">
        <f>HLOOKUP(J$8,SUPPORT!$T$5:$AN$19,13,FALSE)</f>
        <v>0</v>
      </c>
      <c r="K19" s="380">
        <f>HLOOKUP(K$8,SUPPORT!$T$5:$AN$19,13,FALSE)</f>
        <v>0</v>
      </c>
      <c r="L19" s="380">
        <f>HLOOKUP(L$8,SUPPORT!$T$5:$AN$19,13,FALSE)</f>
        <v>0</v>
      </c>
      <c r="M19" s="380">
        <f>HLOOKUP(M$8,SUPPORT!$T$5:$AN$19,13,FALSE)</f>
        <v>0</v>
      </c>
      <c r="N19" s="380">
        <f>HLOOKUP(N$8,SUPPORT!$T$5:$AN$19,13,FALSE)</f>
        <v>0</v>
      </c>
      <c r="O19" s="380">
        <f>HLOOKUP(O$8,SUPPORT!$T$5:$AN$19,13,FALSE)</f>
        <v>0</v>
      </c>
      <c r="P19" s="380">
        <f>HLOOKUP(P$8,SUPPORT!$T$5:$AN$19,13,FALSE)</f>
        <v>0</v>
      </c>
      <c r="Q19" s="380">
        <f>HLOOKUP(Q$8,SUPPORT!$T$5:$AN$19,13,FALSE)</f>
        <v>0</v>
      </c>
      <c r="R19" s="380" t="e">
        <f>HLOOKUP(R$8,SUPPORT!$T$5:$AN$19,13,FALSE)</f>
        <v>#N/A</v>
      </c>
      <c r="S19" s="380" t="e">
        <f>HLOOKUP(S$8,SUPPORT!$T$5:$AN$19,13,FALSE)</f>
        <v>#N/A</v>
      </c>
      <c r="T19" s="380" t="e">
        <f>HLOOKUP(T$8,SUPPORT!$T$5:$AN$19,13,FALSE)</f>
        <v>#N/A</v>
      </c>
      <c r="U19" s="380" t="e">
        <f>HLOOKUP(U$8,SUPPORT!$T$5:$AN$19,13,FALSE)</f>
        <v>#N/A</v>
      </c>
      <c r="V19" s="380" t="e">
        <f>HLOOKUP(V$8,SUPPORT!$T$5:$AN$19,13,FALSE)</f>
        <v>#N/A</v>
      </c>
      <c r="W19" s="380" t="e">
        <f>HLOOKUP(W$8,SUPPORT!$T$5:$AN$19,13,FALSE)</f>
        <v>#N/A</v>
      </c>
      <c r="X19" s="380" t="e">
        <f>HLOOKUP(X$8,SUPPORT!$T$5:$AN$19,13,FALSE)</f>
        <v>#N/A</v>
      </c>
      <c r="Y19" s="380" t="e">
        <f>HLOOKUP(Y$8,SUPPORT!$T$5:$AN$19,13,FALSE)</f>
        <v>#N/A</v>
      </c>
      <c r="Z19" s="398"/>
    </row>
    <row r="20" spans="1:26" x14ac:dyDescent="0.2">
      <c r="A20" s="387"/>
      <c r="B20" s="527"/>
      <c r="C20" s="533"/>
      <c r="D20" s="421" t="s">
        <v>112</v>
      </c>
      <c r="E20" s="381">
        <f>IF((E8=""),"",+E18+E19)</f>
        <v>463953.48837209318</v>
      </c>
      <c r="F20" s="381">
        <f>IF((F8=""),"",+F18+F19)</f>
        <v>436046.51162790693</v>
      </c>
      <c r="G20" s="381">
        <f t="shared" ref="G20:Y20" si="1">IF((G8=""),"",+G18+G19)</f>
        <v>300000</v>
      </c>
      <c r="H20" s="381">
        <f t="shared" si="1"/>
        <v>0</v>
      </c>
      <c r="I20" s="381">
        <f t="shared" si="1"/>
        <v>0</v>
      </c>
      <c r="J20" s="381">
        <f t="shared" si="1"/>
        <v>0</v>
      </c>
      <c r="K20" s="381">
        <f t="shared" si="1"/>
        <v>0</v>
      </c>
      <c r="L20" s="381">
        <f t="shared" si="1"/>
        <v>0</v>
      </c>
      <c r="M20" s="381">
        <f t="shared" si="1"/>
        <v>0</v>
      </c>
      <c r="N20" s="381">
        <f t="shared" si="1"/>
        <v>0</v>
      </c>
      <c r="O20" s="381">
        <f t="shared" si="1"/>
        <v>0</v>
      </c>
      <c r="P20" s="381">
        <f t="shared" si="1"/>
        <v>0</v>
      </c>
      <c r="Q20" s="381">
        <f t="shared" si="1"/>
        <v>0</v>
      </c>
      <c r="R20" s="381" t="e">
        <f t="shared" si="1"/>
        <v>#N/A</v>
      </c>
      <c r="S20" s="381" t="e">
        <f t="shared" si="1"/>
        <v>#N/A</v>
      </c>
      <c r="T20" s="381" t="e">
        <f t="shared" si="1"/>
        <v>#N/A</v>
      </c>
      <c r="U20" s="381" t="e">
        <f t="shared" si="1"/>
        <v>#N/A</v>
      </c>
      <c r="V20" s="381" t="e">
        <f t="shared" si="1"/>
        <v>#N/A</v>
      </c>
      <c r="W20" s="381" t="e">
        <f t="shared" si="1"/>
        <v>#N/A</v>
      </c>
      <c r="X20" s="381" t="e">
        <f t="shared" si="1"/>
        <v>#N/A</v>
      </c>
      <c r="Y20" s="381" t="e">
        <f t="shared" si="1"/>
        <v>#N/A</v>
      </c>
      <c r="Z20" s="398"/>
    </row>
    <row r="21" spans="1:26" x14ac:dyDescent="0.2">
      <c r="A21" s="387"/>
      <c r="B21" s="527"/>
      <c r="C21" s="531" t="s">
        <v>9</v>
      </c>
      <c r="D21" s="422" t="s">
        <v>61</v>
      </c>
      <c r="E21" s="382">
        <f>IF((E8=""),"",+SUM(E13:E17)+E20)</f>
        <v>463953.48837209318</v>
      </c>
      <c r="F21" s="382">
        <f>IF((F8=""),"",+SUM(F13:F17)+F20)</f>
        <v>436046.51162790693</v>
      </c>
      <c r="G21" s="382">
        <f t="shared" ref="G21:Y21" si="2">IF((G8=""),"",+SUM(G13:G17)+G20)</f>
        <v>300000</v>
      </c>
      <c r="H21" s="382">
        <f t="shared" si="2"/>
        <v>125000</v>
      </c>
      <c r="I21" s="382">
        <f t="shared" si="2"/>
        <v>263000</v>
      </c>
      <c r="J21" s="382">
        <f t="shared" si="2"/>
        <v>422120</v>
      </c>
      <c r="K21" s="382">
        <f t="shared" si="2"/>
        <v>475198.63999999996</v>
      </c>
      <c r="L21" s="382">
        <f t="shared" si="2"/>
        <v>612094.47200000007</v>
      </c>
      <c r="M21" s="382">
        <f t="shared" si="2"/>
        <v>787448.48192000005</v>
      </c>
      <c r="N21" s="382">
        <f t="shared" si="2"/>
        <v>1054083.9958927999</v>
      </c>
      <c r="O21" s="382">
        <f t="shared" si="2"/>
        <v>1158817.1008843519</v>
      </c>
      <c r="P21" s="382">
        <f t="shared" si="2"/>
        <v>1179493.442902039</v>
      </c>
      <c r="Q21" s="382">
        <f t="shared" si="2"/>
        <v>1110951.3691134064</v>
      </c>
      <c r="R21" s="382" t="e">
        <f t="shared" si="2"/>
        <v>#N/A</v>
      </c>
      <c r="S21" s="382" t="e">
        <f t="shared" si="2"/>
        <v>#N/A</v>
      </c>
      <c r="T21" s="382" t="e">
        <f t="shared" si="2"/>
        <v>#N/A</v>
      </c>
      <c r="U21" s="382" t="e">
        <f t="shared" si="2"/>
        <v>#N/A</v>
      </c>
      <c r="V21" s="382" t="e">
        <f t="shared" si="2"/>
        <v>#N/A</v>
      </c>
      <c r="W21" s="382" t="e">
        <f t="shared" si="2"/>
        <v>#N/A</v>
      </c>
      <c r="X21" s="382" t="e">
        <f t="shared" si="2"/>
        <v>#N/A</v>
      </c>
      <c r="Y21" s="382" t="e">
        <f t="shared" si="2"/>
        <v>#N/A</v>
      </c>
      <c r="Z21" s="398"/>
    </row>
    <row r="22" spans="1:26" x14ac:dyDescent="0.2">
      <c r="A22" s="387"/>
      <c r="B22" s="527"/>
      <c r="C22" s="533"/>
      <c r="D22" s="423" t="s">
        <v>87</v>
      </c>
      <c r="E22" s="383">
        <f>IF((E8=""),"",+SUM(E13:E17)+E18)</f>
        <v>1355813.9534883723</v>
      </c>
      <c r="F22" s="383">
        <f>IF((F8=""),"",+SUM(F13:F17)+F18)</f>
        <v>944186.04651162785</v>
      </c>
      <c r="G22" s="383">
        <f t="shared" ref="G22:Y22" si="3">IF((G8=""),"",+SUM(G13:G17)+G18)</f>
        <v>600000</v>
      </c>
      <c r="H22" s="383">
        <f t="shared" si="3"/>
        <v>125000</v>
      </c>
      <c r="I22" s="383">
        <f t="shared" si="3"/>
        <v>263000</v>
      </c>
      <c r="J22" s="383">
        <f t="shared" si="3"/>
        <v>422120</v>
      </c>
      <c r="K22" s="383">
        <f t="shared" si="3"/>
        <v>475198.63999999996</v>
      </c>
      <c r="L22" s="383">
        <f t="shared" si="3"/>
        <v>612094.47200000007</v>
      </c>
      <c r="M22" s="383">
        <f t="shared" si="3"/>
        <v>787448.48192000005</v>
      </c>
      <c r="N22" s="383">
        <f t="shared" si="3"/>
        <v>1054083.9958927999</v>
      </c>
      <c r="O22" s="383">
        <f t="shared" si="3"/>
        <v>1158817.1008843519</v>
      </c>
      <c r="P22" s="383">
        <f t="shared" si="3"/>
        <v>1179493.442902039</v>
      </c>
      <c r="Q22" s="383">
        <f t="shared" si="3"/>
        <v>1110951.3691134064</v>
      </c>
      <c r="R22" s="383" t="e">
        <f t="shared" si="3"/>
        <v>#N/A</v>
      </c>
      <c r="S22" s="383" t="e">
        <f t="shared" si="3"/>
        <v>#N/A</v>
      </c>
      <c r="T22" s="383" t="e">
        <f t="shared" si="3"/>
        <v>#N/A</v>
      </c>
      <c r="U22" s="383" t="e">
        <f t="shared" si="3"/>
        <v>#N/A</v>
      </c>
      <c r="V22" s="383" t="e">
        <f t="shared" si="3"/>
        <v>#N/A</v>
      </c>
      <c r="W22" s="383" t="e">
        <f t="shared" si="3"/>
        <v>#N/A</v>
      </c>
      <c r="X22" s="383" t="e">
        <f t="shared" si="3"/>
        <v>#N/A</v>
      </c>
      <c r="Y22" s="383" t="e">
        <f t="shared" si="3"/>
        <v>#N/A</v>
      </c>
      <c r="Z22" s="398"/>
    </row>
    <row r="23" spans="1:26" x14ac:dyDescent="0.2">
      <c r="A23" s="387"/>
      <c r="B23" s="527"/>
      <c r="C23" s="531" t="s">
        <v>0</v>
      </c>
      <c r="D23" s="424" t="s">
        <v>94</v>
      </c>
      <c r="E23" s="382">
        <f>+E12-E21</f>
        <v>-463953.48837209318</v>
      </c>
      <c r="F23" s="382">
        <f>+F12-F21</f>
        <v>-436046.51162790693</v>
      </c>
      <c r="G23" s="382">
        <f t="shared" ref="G23:Y23" si="4">+G12-G21</f>
        <v>-300000</v>
      </c>
      <c r="H23" s="382">
        <f t="shared" si="4"/>
        <v>-93500</v>
      </c>
      <c r="I23" s="382">
        <f t="shared" si="4"/>
        <v>69316</v>
      </c>
      <c r="J23" s="382">
        <f t="shared" si="4"/>
        <v>355807.88800000004</v>
      </c>
      <c r="K23" s="382">
        <f t="shared" si="4"/>
        <v>601872.29718400002</v>
      </c>
      <c r="L23" s="382">
        <f t="shared" si="4"/>
        <v>981627.98255891213</v>
      </c>
      <c r="M23" s="382">
        <f t="shared" si="4"/>
        <v>1485432.0005122814</v>
      </c>
      <c r="N23" s="382">
        <f t="shared" si="4"/>
        <v>2192930.6600315864</v>
      </c>
      <c r="O23" s="382">
        <f t="shared" si="4"/>
        <v>2884189.4244129062</v>
      </c>
      <c r="P23" s="382">
        <f t="shared" si="4"/>
        <v>3512665.44921974</v>
      </c>
      <c r="Q23" s="382">
        <f t="shared" si="4"/>
        <v>4008515.8942332473</v>
      </c>
      <c r="R23" s="382" t="e">
        <f t="shared" si="4"/>
        <v>#N/A</v>
      </c>
      <c r="S23" s="382" t="e">
        <f t="shared" si="4"/>
        <v>#N/A</v>
      </c>
      <c r="T23" s="382" t="e">
        <f t="shared" si="4"/>
        <v>#N/A</v>
      </c>
      <c r="U23" s="382" t="e">
        <f t="shared" si="4"/>
        <v>#N/A</v>
      </c>
      <c r="V23" s="382" t="e">
        <f t="shared" si="4"/>
        <v>#N/A</v>
      </c>
      <c r="W23" s="382" t="e">
        <f t="shared" si="4"/>
        <v>#N/A</v>
      </c>
      <c r="X23" s="382" t="e">
        <f t="shared" si="4"/>
        <v>#N/A</v>
      </c>
      <c r="Y23" s="382" t="e">
        <f t="shared" si="4"/>
        <v>#N/A</v>
      </c>
      <c r="Z23" s="398"/>
    </row>
    <row r="24" spans="1:26" x14ac:dyDescent="0.2">
      <c r="A24" s="387"/>
      <c r="B24" s="527"/>
      <c r="C24" s="533"/>
      <c r="D24" s="423" t="s">
        <v>93</v>
      </c>
      <c r="E24" s="384">
        <f>+E12-E22</f>
        <v>-1355813.9534883723</v>
      </c>
      <c r="F24" s="384">
        <f>+F12-F22</f>
        <v>-944186.04651162785</v>
      </c>
      <c r="G24" s="384">
        <f t="shared" ref="G24:Y24" si="5">+G12-G22</f>
        <v>-600000</v>
      </c>
      <c r="H24" s="384">
        <f t="shared" si="5"/>
        <v>-93500</v>
      </c>
      <c r="I24" s="384">
        <f t="shared" si="5"/>
        <v>69316</v>
      </c>
      <c r="J24" s="384">
        <f t="shared" si="5"/>
        <v>355807.88800000004</v>
      </c>
      <c r="K24" s="384">
        <f t="shared" si="5"/>
        <v>601872.29718400002</v>
      </c>
      <c r="L24" s="384">
        <f t="shared" si="5"/>
        <v>981627.98255891213</v>
      </c>
      <c r="M24" s="384">
        <f t="shared" si="5"/>
        <v>1485432.0005122814</v>
      </c>
      <c r="N24" s="384">
        <f t="shared" si="5"/>
        <v>2192930.6600315864</v>
      </c>
      <c r="O24" s="384">
        <f t="shared" si="5"/>
        <v>2884189.4244129062</v>
      </c>
      <c r="P24" s="384">
        <f t="shared" si="5"/>
        <v>3512665.44921974</v>
      </c>
      <c r="Q24" s="384">
        <f t="shared" si="5"/>
        <v>4008515.8942332473</v>
      </c>
      <c r="R24" s="384" t="e">
        <f t="shared" si="5"/>
        <v>#N/A</v>
      </c>
      <c r="S24" s="384" t="e">
        <f t="shared" si="5"/>
        <v>#N/A</v>
      </c>
      <c r="T24" s="384" t="e">
        <f t="shared" si="5"/>
        <v>#N/A</v>
      </c>
      <c r="U24" s="384" t="e">
        <f t="shared" si="5"/>
        <v>#N/A</v>
      </c>
      <c r="V24" s="384" t="e">
        <f t="shared" si="5"/>
        <v>#N/A</v>
      </c>
      <c r="W24" s="384" t="e">
        <f t="shared" si="5"/>
        <v>#N/A</v>
      </c>
      <c r="X24" s="384" t="e">
        <f t="shared" si="5"/>
        <v>#N/A</v>
      </c>
      <c r="Y24" s="384" t="e">
        <f t="shared" si="5"/>
        <v>#N/A</v>
      </c>
      <c r="Z24" s="398"/>
    </row>
    <row r="25" spans="1:26" x14ac:dyDescent="0.2">
      <c r="A25" s="387"/>
      <c r="B25" s="527"/>
      <c r="C25" s="414" t="s">
        <v>121</v>
      </c>
      <c r="D25" s="416" t="s">
        <v>121</v>
      </c>
      <c r="E25" s="385">
        <f>HLOOKUP(E$8,SUPPORT!$T$5:$AN$19,14,FALSE)</f>
        <v>0</v>
      </c>
      <c r="F25" s="385">
        <f>HLOOKUP(F$8,SUPPORT!$T$5:$AN$19,14,FALSE)</f>
        <v>0</v>
      </c>
      <c r="G25" s="385">
        <f>HLOOKUP(G$8,SUPPORT!$T$5:$AN$19,14,FALSE)</f>
        <v>0</v>
      </c>
      <c r="H25" s="385">
        <f>HLOOKUP(H$8,SUPPORT!$T$5:$AN$19,14,FALSE)</f>
        <v>714.28571428571433</v>
      </c>
      <c r="I25" s="385">
        <f>HLOOKUP(I$8,SUPPORT!$T$5:$AN$19,14,FALSE)</f>
        <v>4714.2857142857147</v>
      </c>
      <c r="J25" s="385">
        <f>HLOOKUP(J$8,SUPPORT!$T$5:$AN$19,14,FALSE)</f>
        <v>4714.2857142857147</v>
      </c>
      <c r="K25" s="385">
        <f>HLOOKUP(K$8,SUPPORT!$T$5:$AN$19,14,FALSE)</f>
        <v>4714.2857142857147</v>
      </c>
      <c r="L25" s="385">
        <f>HLOOKUP(L$8,SUPPORT!$T$5:$AN$19,14,FALSE)</f>
        <v>4714.2857142857147</v>
      </c>
      <c r="M25" s="385">
        <f>HLOOKUP(M$8,SUPPORT!$T$5:$AN$19,14,FALSE)</f>
        <v>4714.2857142857147</v>
      </c>
      <c r="N25" s="385">
        <f>HLOOKUP(N$8,SUPPORT!$T$5:$AN$19,14,FALSE)</f>
        <v>714.28571428571433</v>
      </c>
      <c r="O25" s="385">
        <f>HLOOKUP(O$8,SUPPORT!$T$5:$AN$19,14,FALSE)</f>
        <v>0</v>
      </c>
      <c r="P25" s="385">
        <f>HLOOKUP(P$8,SUPPORT!$T$5:$AN$19,14,FALSE)</f>
        <v>0</v>
      </c>
      <c r="Q25" s="385">
        <f>HLOOKUP(Q$8,SUPPORT!$T$5:$AN$19,14,FALSE)</f>
        <v>0</v>
      </c>
      <c r="R25" s="385" t="e">
        <f>HLOOKUP(R$8,SUPPORT!$T$5:$AN$19,14,FALSE)</f>
        <v>#N/A</v>
      </c>
      <c r="S25" s="385" t="e">
        <f>HLOOKUP(S$8,SUPPORT!$T$5:$AN$19,14,FALSE)</f>
        <v>#N/A</v>
      </c>
      <c r="T25" s="385" t="e">
        <f>HLOOKUP(T$8,SUPPORT!$T$5:$AN$19,14,FALSE)</f>
        <v>#N/A</v>
      </c>
      <c r="U25" s="385" t="e">
        <f>HLOOKUP(U$8,SUPPORT!$T$5:$AN$19,14,FALSE)</f>
        <v>#N/A</v>
      </c>
      <c r="V25" s="385" t="e">
        <f>HLOOKUP(V$8,SUPPORT!$T$5:$AN$19,14,FALSE)</f>
        <v>#N/A</v>
      </c>
      <c r="W25" s="385" t="e">
        <f>HLOOKUP(W$8,SUPPORT!$T$5:$AN$19,14,FALSE)</f>
        <v>#N/A</v>
      </c>
      <c r="X25" s="385" t="e">
        <f>HLOOKUP(X$8,SUPPORT!$T$5:$AN$19,14,FALSE)</f>
        <v>#N/A</v>
      </c>
      <c r="Y25" s="385" t="e">
        <f>HLOOKUP(Y$8,SUPPORT!$T$5:$AN$19,14,FALSE)</f>
        <v>#N/A</v>
      </c>
      <c r="Z25" s="398"/>
    </row>
    <row r="26" spans="1:26" x14ac:dyDescent="0.2">
      <c r="A26" s="387"/>
      <c r="B26" s="527"/>
      <c r="C26" s="521" t="s">
        <v>100</v>
      </c>
      <c r="D26" s="424" t="s">
        <v>95</v>
      </c>
      <c r="E26" s="382">
        <f>+E23-E25</f>
        <v>-463953.48837209318</v>
      </c>
      <c r="F26" s="382">
        <f>+F23-F25</f>
        <v>-436046.51162790693</v>
      </c>
      <c r="G26" s="382">
        <f>+G23-G25</f>
        <v>-300000</v>
      </c>
      <c r="H26" s="382">
        <f t="shared" ref="H26:Y26" si="6">+H23-H25</f>
        <v>-94214.28571428571</v>
      </c>
      <c r="I26" s="382">
        <f t="shared" si="6"/>
        <v>64601.714285714283</v>
      </c>
      <c r="J26" s="382">
        <f t="shared" si="6"/>
        <v>351093.6022857143</v>
      </c>
      <c r="K26" s="382">
        <f t="shared" si="6"/>
        <v>597158.01146971434</v>
      </c>
      <c r="L26" s="382">
        <f t="shared" si="6"/>
        <v>976913.69684462645</v>
      </c>
      <c r="M26" s="382">
        <f t="shared" si="6"/>
        <v>1480717.7147979958</v>
      </c>
      <c r="N26" s="382">
        <f t="shared" si="6"/>
        <v>2192216.3743173005</v>
      </c>
      <c r="O26" s="382">
        <f t="shared" si="6"/>
        <v>2884189.4244129062</v>
      </c>
      <c r="P26" s="382">
        <f t="shared" si="6"/>
        <v>3512665.44921974</v>
      </c>
      <c r="Q26" s="382">
        <f t="shared" si="6"/>
        <v>4008515.8942332473</v>
      </c>
      <c r="R26" s="382" t="e">
        <f t="shared" si="6"/>
        <v>#N/A</v>
      </c>
      <c r="S26" s="382" t="e">
        <f t="shared" si="6"/>
        <v>#N/A</v>
      </c>
      <c r="T26" s="382" t="e">
        <f t="shared" si="6"/>
        <v>#N/A</v>
      </c>
      <c r="U26" s="382" t="e">
        <f t="shared" si="6"/>
        <v>#N/A</v>
      </c>
      <c r="V26" s="382" t="e">
        <f t="shared" si="6"/>
        <v>#N/A</v>
      </c>
      <c r="W26" s="382" t="e">
        <f t="shared" si="6"/>
        <v>#N/A</v>
      </c>
      <c r="X26" s="382" t="e">
        <f t="shared" si="6"/>
        <v>#N/A</v>
      </c>
      <c r="Y26" s="382" t="e">
        <f t="shared" si="6"/>
        <v>#N/A</v>
      </c>
      <c r="Z26" s="398"/>
    </row>
    <row r="27" spans="1:26" x14ac:dyDescent="0.2">
      <c r="A27" s="387"/>
      <c r="B27" s="527"/>
      <c r="C27" s="522"/>
      <c r="D27" s="423" t="s">
        <v>96</v>
      </c>
      <c r="E27" s="384">
        <f>+E24-E25</f>
        <v>-1355813.9534883723</v>
      </c>
      <c r="F27" s="384">
        <f>+F24-F25</f>
        <v>-944186.04651162785</v>
      </c>
      <c r="G27" s="384">
        <f t="shared" ref="G27:Y27" si="7">+G24-G25</f>
        <v>-600000</v>
      </c>
      <c r="H27" s="384">
        <f t="shared" si="7"/>
        <v>-94214.28571428571</v>
      </c>
      <c r="I27" s="384">
        <f t="shared" si="7"/>
        <v>64601.714285714283</v>
      </c>
      <c r="J27" s="384">
        <f t="shared" si="7"/>
        <v>351093.6022857143</v>
      </c>
      <c r="K27" s="384">
        <f t="shared" si="7"/>
        <v>597158.01146971434</v>
      </c>
      <c r="L27" s="384">
        <f t="shared" si="7"/>
        <v>976913.69684462645</v>
      </c>
      <c r="M27" s="384">
        <f t="shared" si="7"/>
        <v>1480717.7147979958</v>
      </c>
      <c r="N27" s="384">
        <f t="shared" si="7"/>
        <v>2192216.3743173005</v>
      </c>
      <c r="O27" s="384">
        <f t="shared" si="7"/>
        <v>2884189.4244129062</v>
      </c>
      <c r="P27" s="384">
        <f t="shared" si="7"/>
        <v>3512665.44921974</v>
      </c>
      <c r="Q27" s="384">
        <f t="shared" si="7"/>
        <v>4008515.8942332473</v>
      </c>
      <c r="R27" s="384" t="e">
        <f t="shared" si="7"/>
        <v>#N/A</v>
      </c>
      <c r="S27" s="384" t="e">
        <f t="shared" si="7"/>
        <v>#N/A</v>
      </c>
      <c r="T27" s="384" t="e">
        <f t="shared" si="7"/>
        <v>#N/A</v>
      </c>
      <c r="U27" s="384" t="e">
        <f t="shared" si="7"/>
        <v>#N/A</v>
      </c>
      <c r="V27" s="384" t="e">
        <f t="shared" si="7"/>
        <v>#N/A</v>
      </c>
      <c r="W27" s="384" t="e">
        <f t="shared" si="7"/>
        <v>#N/A</v>
      </c>
      <c r="X27" s="384" t="e">
        <f t="shared" si="7"/>
        <v>#N/A</v>
      </c>
      <c r="Y27" s="384" t="e">
        <f t="shared" si="7"/>
        <v>#N/A</v>
      </c>
      <c r="Z27" s="398"/>
    </row>
    <row r="28" spans="1:26" ht="12.75" customHeight="1" x14ac:dyDescent="0.2">
      <c r="A28" s="387"/>
      <c r="B28" s="527"/>
      <c r="C28" s="521" t="s">
        <v>99</v>
      </c>
      <c r="D28" s="424" t="s">
        <v>97</v>
      </c>
      <c r="E28" s="382">
        <f>IF(E26&lt;0,E26,E26*(1-$D$5))</f>
        <v>-463953.48837209318</v>
      </c>
      <c r="F28" s="382">
        <f>IF(F26&lt;0,F26,F26*(1-$D$5))</f>
        <v>-436046.51162790693</v>
      </c>
      <c r="G28" s="382">
        <f t="shared" ref="G28:Y28" si="8">IF(G26&lt;0,G26,G26*(1-$D$5))</f>
        <v>-300000</v>
      </c>
      <c r="H28" s="382">
        <f t="shared" si="8"/>
        <v>-94214.28571428571</v>
      </c>
      <c r="I28" s="382">
        <f t="shared" si="8"/>
        <v>51681.37142857143</v>
      </c>
      <c r="J28" s="382">
        <f t="shared" si="8"/>
        <v>280874.88182857144</v>
      </c>
      <c r="K28" s="382">
        <f t="shared" si="8"/>
        <v>477726.40917577152</v>
      </c>
      <c r="L28" s="382">
        <f t="shared" si="8"/>
        <v>781530.95747570123</v>
      </c>
      <c r="M28" s="382">
        <f t="shared" si="8"/>
        <v>1184574.1718383967</v>
      </c>
      <c r="N28" s="382">
        <f t="shared" si="8"/>
        <v>1753773.0994538404</v>
      </c>
      <c r="O28" s="382">
        <f t="shared" si="8"/>
        <v>2307351.5395303252</v>
      </c>
      <c r="P28" s="382">
        <f t="shared" si="8"/>
        <v>2810132.3593757921</v>
      </c>
      <c r="Q28" s="382">
        <f t="shared" si="8"/>
        <v>3206812.7153865979</v>
      </c>
      <c r="R28" s="382" t="e">
        <f t="shared" si="8"/>
        <v>#N/A</v>
      </c>
      <c r="S28" s="382" t="e">
        <f t="shared" si="8"/>
        <v>#N/A</v>
      </c>
      <c r="T28" s="382" t="e">
        <f t="shared" si="8"/>
        <v>#N/A</v>
      </c>
      <c r="U28" s="382" t="e">
        <f t="shared" si="8"/>
        <v>#N/A</v>
      </c>
      <c r="V28" s="382" t="e">
        <f t="shared" si="8"/>
        <v>#N/A</v>
      </c>
      <c r="W28" s="382" t="e">
        <f t="shared" si="8"/>
        <v>#N/A</v>
      </c>
      <c r="X28" s="382" t="e">
        <f t="shared" si="8"/>
        <v>#N/A</v>
      </c>
      <c r="Y28" s="382" t="e">
        <f t="shared" si="8"/>
        <v>#N/A</v>
      </c>
      <c r="Z28" s="398"/>
    </row>
    <row r="29" spans="1:26" ht="12.75" customHeight="1" x14ac:dyDescent="0.2">
      <c r="A29" s="387"/>
      <c r="B29" s="527"/>
      <c r="C29" s="522"/>
      <c r="D29" s="423" t="s">
        <v>98</v>
      </c>
      <c r="E29" s="384">
        <f>IF(E27&lt;0,E27,E27*(1-$D$5))</f>
        <v>-1355813.9534883723</v>
      </c>
      <c r="F29" s="384">
        <f>IF(F27&lt;0,F27,F27*(1-$D$5))</f>
        <v>-944186.04651162785</v>
      </c>
      <c r="G29" s="384">
        <f t="shared" ref="G29:Y29" si="9">IF(G27&lt;0,G27,G27*(1-$D$5))</f>
        <v>-600000</v>
      </c>
      <c r="H29" s="384">
        <f t="shared" si="9"/>
        <v>-94214.28571428571</v>
      </c>
      <c r="I29" s="384">
        <f t="shared" si="9"/>
        <v>51681.37142857143</v>
      </c>
      <c r="J29" s="384">
        <f t="shared" si="9"/>
        <v>280874.88182857144</v>
      </c>
      <c r="K29" s="384">
        <f t="shared" si="9"/>
        <v>477726.40917577152</v>
      </c>
      <c r="L29" s="384">
        <f t="shared" si="9"/>
        <v>781530.95747570123</v>
      </c>
      <c r="M29" s="384">
        <f t="shared" si="9"/>
        <v>1184574.1718383967</v>
      </c>
      <c r="N29" s="384">
        <f t="shared" si="9"/>
        <v>1753773.0994538404</v>
      </c>
      <c r="O29" s="384">
        <f t="shared" si="9"/>
        <v>2307351.5395303252</v>
      </c>
      <c r="P29" s="384">
        <f t="shared" si="9"/>
        <v>2810132.3593757921</v>
      </c>
      <c r="Q29" s="384">
        <f t="shared" si="9"/>
        <v>3206812.7153865979</v>
      </c>
      <c r="R29" s="384" t="e">
        <f t="shared" si="9"/>
        <v>#N/A</v>
      </c>
      <c r="S29" s="384" t="e">
        <f t="shared" si="9"/>
        <v>#N/A</v>
      </c>
      <c r="T29" s="384" t="e">
        <f t="shared" si="9"/>
        <v>#N/A</v>
      </c>
      <c r="U29" s="384" t="e">
        <f t="shared" si="9"/>
        <v>#N/A</v>
      </c>
      <c r="V29" s="384" t="e">
        <f t="shared" si="9"/>
        <v>#N/A</v>
      </c>
      <c r="W29" s="384" t="e">
        <f t="shared" si="9"/>
        <v>#N/A</v>
      </c>
      <c r="X29" s="384" t="e">
        <f t="shared" si="9"/>
        <v>#N/A</v>
      </c>
      <c r="Y29" s="384" t="e">
        <f t="shared" si="9"/>
        <v>#N/A</v>
      </c>
      <c r="Z29" s="398"/>
    </row>
    <row r="30" spans="1:26" ht="12.75" customHeight="1" x14ac:dyDescent="0.2">
      <c r="A30" s="387"/>
      <c r="B30" s="528"/>
      <c r="C30" s="414" t="s">
        <v>30</v>
      </c>
      <c r="D30" s="416" t="s">
        <v>30</v>
      </c>
      <c r="E30" s="385">
        <f>HLOOKUP(E$8,SUPPORT!$T$5:$AN$19,15,FALSE)</f>
        <v>0</v>
      </c>
      <c r="F30" s="385">
        <f>HLOOKUP(F$8,SUPPORT!$T$5:$AN$19,15,FALSE)</f>
        <v>0</v>
      </c>
      <c r="G30" s="385">
        <f>HLOOKUP(G$8,SUPPORT!$T$5:$AN$19,15,FALSE)</f>
        <v>0</v>
      </c>
      <c r="H30" s="385">
        <f>HLOOKUP(H$8,SUPPORT!$T$5:$AN$19,15,FALSE)</f>
        <v>-5000</v>
      </c>
      <c r="I30" s="385">
        <f>HLOOKUP(I$8,SUPPORT!$T$5:$AN$19,15,FALSE)</f>
        <v>-20000</v>
      </c>
      <c r="J30" s="385">
        <f>HLOOKUP(J$8,SUPPORT!$T$5:$AN$19,15,FALSE)</f>
        <v>0</v>
      </c>
      <c r="K30" s="385">
        <f>HLOOKUP(K$8,SUPPORT!$T$5:$AN$19,15,FALSE)</f>
        <v>0</v>
      </c>
      <c r="L30" s="385">
        <f>HLOOKUP(L$8,SUPPORT!$T$5:$AN$19,15,FALSE)</f>
        <v>0</v>
      </c>
      <c r="M30" s="385">
        <f>HLOOKUP(M$8,SUPPORT!$T$5:$AN$19,15,FALSE)</f>
        <v>0</v>
      </c>
      <c r="N30" s="385">
        <f>HLOOKUP(N$8,SUPPORT!$T$5:$AN$19,15,FALSE)</f>
        <v>0</v>
      </c>
      <c r="O30" s="385">
        <f>HLOOKUP(O$8,SUPPORT!$T$5:$AN$19,15,FALSE)</f>
        <v>0</v>
      </c>
      <c r="P30" s="385">
        <f>HLOOKUP(P$8,SUPPORT!$T$5:$AN$19,15,FALSE)</f>
        <v>0</v>
      </c>
      <c r="Q30" s="385">
        <f>HLOOKUP(Q$8,SUPPORT!$T$5:$AN$19,15,FALSE)</f>
        <v>0</v>
      </c>
      <c r="R30" s="385" t="e">
        <f>HLOOKUP(R$8,SUPPORT!$T$5:$AN$19,15,FALSE)</f>
        <v>#N/A</v>
      </c>
      <c r="S30" s="385" t="e">
        <f>HLOOKUP(S$8,SUPPORT!$T$5:$AN$19,15,FALSE)</f>
        <v>#N/A</v>
      </c>
      <c r="T30" s="385" t="e">
        <f>HLOOKUP(T$8,SUPPORT!$T$5:$AN$19,15,FALSE)</f>
        <v>#N/A</v>
      </c>
      <c r="U30" s="385" t="e">
        <f>HLOOKUP(U$8,SUPPORT!$T$5:$AN$19,15,FALSE)</f>
        <v>#N/A</v>
      </c>
      <c r="V30" s="385" t="e">
        <f>HLOOKUP(V$8,SUPPORT!$T$5:$AN$19,15,FALSE)</f>
        <v>#N/A</v>
      </c>
      <c r="W30" s="385" t="e">
        <f>HLOOKUP(W$8,SUPPORT!$T$5:$AN$19,15,FALSE)</f>
        <v>#N/A</v>
      </c>
      <c r="X30" s="385" t="e">
        <f>HLOOKUP(X$8,SUPPORT!$T$5:$AN$19,15,FALSE)</f>
        <v>#N/A</v>
      </c>
      <c r="Y30" s="385" t="e">
        <f>HLOOKUP(Y$8,SUPPORT!$T$5:$AN$19,15,FALSE)</f>
        <v>#N/A</v>
      </c>
      <c r="Z30" s="398"/>
    </row>
    <row r="31" spans="1:26" ht="12.75" customHeight="1" x14ac:dyDescent="0.2">
      <c r="A31" s="387"/>
      <c r="B31" s="523" t="s">
        <v>119</v>
      </c>
      <c r="C31" s="529" t="s">
        <v>104</v>
      </c>
      <c r="D31" s="422" t="s">
        <v>105</v>
      </c>
      <c r="E31" s="382">
        <f>IFERROR(E26+E25+E30,"")</f>
        <v>-463953.48837209318</v>
      </c>
      <c r="F31" s="382">
        <f t="shared" ref="F31:Y31" si="10">IFERROR(F26+F25+F30,"")</f>
        <v>-436046.51162790693</v>
      </c>
      <c r="G31" s="382">
        <f t="shared" si="10"/>
        <v>-300000</v>
      </c>
      <c r="H31" s="382">
        <f t="shared" si="10"/>
        <v>-98500</v>
      </c>
      <c r="I31" s="382">
        <f t="shared" si="10"/>
        <v>49316</v>
      </c>
      <c r="J31" s="382">
        <f t="shared" si="10"/>
        <v>355807.88800000004</v>
      </c>
      <c r="K31" s="382">
        <f t="shared" si="10"/>
        <v>601872.29718400002</v>
      </c>
      <c r="L31" s="382">
        <f t="shared" si="10"/>
        <v>981627.98255891213</v>
      </c>
      <c r="M31" s="382">
        <f t="shared" si="10"/>
        <v>1485432.0005122814</v>
      </c>
      <c r="N31" s="382">
        <f t="shared" si="10"/>
        <v>2192930.6600315864</v>
      </c>
      <c r="O31" s="382">
        <f t="shared" si="10"/>
        <v>2884189.4244129062</v>
      </c>
      <c r="P31" s="382">
        <f t="shared" si="10"/>
        <v>3512665.44921974</v>
      </c>
      <c r="Q31" s="382">
        <f t="shared" si="10"/>
        <v>4008515.8942332473</v>
      </c>
      <c r="R31" s="382" t="str">
        <f t="shared" si="10"/>
        <v/>
      </c>
      <c r="S31" s="382" t="str">
        <f t="shared" si="10"/>
        <v/>
      </c>
      <c r="T31" s="382" t="str">
        <f t="shared" si="10"/>
        <v/>
      </c>
      <c r="U31" s="382" t="str">
        <f t="shared" si="10"/>
        <v/>
      </c>
      <c r="V31" s="382" t="str">
        <f t="shared" si="10"/>
        <v/>
      </c>
      <c r="W31" s="382" t="str">
        <f t="shared" si="10"/>
        <v/>
      </c>
      <c r="X31" s="382" t="str">
        <f t="shared" si="10"/>
        <v/>
      </c>
      <c r="Y31" s="382" t="str">
        <f t="shared" si="10"/>
        <v/>
      </c>
      <c r="Z31" s="398"/>
    </row>
    <row r="32" spans="1:26" x14ac:dyDescent="0.2">
      <c r="A32" s="387"/>
      <c r="B32" s="524"/>
      <c r="C32" s="529"/>
      <c r="D32" s="425" t="s">
        <v>106</v>
      </c>
      <c r="E32" s="383">
        <f>IFERROR(E27+E25+E30,"")</f>
        <v>-1355813.9534883723</v>
      </c>
      <c r="F32" s="383">
        <f t="shared" ref="F32:N32" si="11">IFERROR(F27+F25+F30,"")</f>
        <v>-944186.04651162785</v>
      </c>
      <c r="G32" s="383">
        <f t="shared" si="11"/>
        <v>-600000</v>
      </c>
      <c r="H32" s="383">
        <f t="shared" si="11"/>
        <v>-98500</v>
      </c>
      <c r="I32" s="383">
        <f t="shared" si="11"/>
        <v>49316</v>
      </c>
      <c r="J32" s="383">
        <f t="shared" si="11"/>
        <v>355807.88800000004</v>
      </c>
      <c r="K32" s="383">
        <f t="shared" si="11"/>
        <v>601872.29718400002</v>
      </c>
      <c r="L32" s="383">
        <f t="shared" si="11"/>
        <v>981627.98255891213</v>
      </c>
      <c r="M32" s="383">
        <f t="shared" si="11"/>
        <v>1485432.0005122814</v>
      </c>
      <c r="N32" s="383">
        <f t="shared" si="11"/>
        <v>2192930.6600315864</v>
      </c>
      <c r="O32" s="383">
        <f>IFERROR(O27+O25+O30,"")</f>
        <v>2884189.4244129062</v>
      </c>
      <c r="P32" s="383">
        <f>IFERROR(P27+P25+P30,"")</f>
        <v>3512665.44921974</v>
      </c>
      <c r="Q32" s="383">
        <f t="shared" ref="Q32:Y32" si="12">IFERROR(Q27+Q25+Q30,"")</f>
        <v>4008515.8942332473</v>
      </c>
      <c r="R32" s="383" t="str">
        <f t="shared" si="12"/>
        <v/>
      </c>
      <c r="S32" s="383" t="str">
        <f t="shared" si="12"/>
        <v/>
      </c>
      <c r="T32" s="383" t="str">
        <f t="shared" si="12"/>
        <v/>
      </c>
      <c r="U32" s="383" t="str">
        <f t="shared" si="12"/>
        <v/>
      </c>
      <c r="V32" s="383" t="str">
        <f t="shared" si="12"/>
        <v/>
      </c>
      <c r="W32" s="383" t="str">
        <f t="shared" si="12"/>
        <v/>
      </c>
      <c r="X32" s="383" t="str">
        <f t="shared" si="12"/>
        <v/>
      </c>
      <c r="Y32" s="383" t="str">
        <f t="shared" si="12"/>
        <v/>
      </c>
      <c r="Z32" s="398"/>
    </row>
    <row r="33" spans="1:26" x14ac:dyDescent="0.2">
      <c r="A33" s="387"/>
      <c r="B33" s="524"/>
      <c r="C33" s="529" t="s">
        <v>103</v>
      </c>
      <c r="D33" s="426" t="s">
        <v>107</v>
      </c>
      <c r="E33" s="382">
        <f>IFERROR(IF(ISNUMBER(E31),IF(ISNUMBER(D33),E31+D33,E31),NA()),NA())</f>
        <v>-463953.48837209318</v>
      </c>
      <c r="F33" s="382">
        <f t="shared" ref="F33:O33" si="13">IFERROR(IF(ISNUMBER(F31),IF(ISNUMBER(E33),F31+E33,F31),NA()),NA())</f>
        <v>-900000.00000000012</v>
      </c>
      <c r="G33" s="382">
        <f t="shared" si="13"/>
        <v>-1200000</v>
      </c>
      <c r="H33" s="382">
        <f t="shared" si="13"/>
        <v>-1298500</v>
      </c>
      <c r="I33" s="382">
        <f t="shared" si="13"/>
        <v>-1249184</v>
      </c>
      <c r="J33" s="382">
        <f t="shared" si="13"/>
        <v>-893376.11199999996</v>
      </c>
      <c r="K33" s="382">
        <f t="shared" si="13"/>
        <v>-291503.81481599994</v>
      </c>
      <c r="L33" s="382">
        <f t="shared" si="13"/>
        <v>690124.16774291219</v>
      </c>
      <c r="M33" s="382">
        <f t="shared" si="13"/>
        <v>2175556.1682551936</v>
      </c>
      <c r="N33" s="382">
        <f t="shared" si="13"/>
        <v>4368486.82828678</v>
      </c>
      <c r="O33" s="382">
        <f t="shared" si="13"/>
        <v>7252676.2526996862</v>
      </c>
      <c r="P33" s="382">
        <f>IFERROR(IF(ISNUMBER(P31),IF(ISNUMBER(O33),P31+O33,P31),NA()),NA())</f>
        <v>10765341.701919425</v>
      </c>
      <c r="Q33" s="382">
        <f t="shared" ref="Q33:Y33" si="14">IFERROR(IF(ISNUMBER(Q31),IF(ISNUMBER(P33),Q31+P33,Q31),NA()),NA())</f>
        <v>14773857.596152673</v>
      </c>
      <c r="R33" s="382" t="e">
        <f t="shared" si="14"/>
        <v>#N/A</v>
      </c>
      <c r="S33" s="382" t="e">
        <f t="shared" si="14"/>
        <v>#N/A</v>
      </c>
      <c r="T33" s="382" t="e">
        <f t="shared" si="14"/>
        <v>#N/A</v>
      </c>
      <c r="U33" s="382" t="e">
        <f t="shared" si="14"/>
        <v>#N/A</v>
      </c>
      <c r="V33" s="382" t="e">
        <f t="shared" si="14"/>
        <v>#N/A</v>
      </c>
      <c r="W33" s="382" t="e">
        <f t="shared" si="14"/>
        <v>#N/A</v>
      </c>
      <c r="X33" s="382" t="e">
        <f t="shared" si="14"/>
        <v>#N/A</v>
      </c>
      <c r="Y33" s="382" t="e">
        <f t="shared" si="14"/>
        <v>#N/A</v>
      </c>
      <c r="Z33" s="427"/>
    </row>
    <row r="34" spans="1:26" x14ac:dyDescent="0.2">
      <c r="A34" s="387"/>
      <c r="B34" s="524"/>
      <c r="C34" s="529"/>
      <c r="D34" s="428" t="s">
        <v>108</v>
      </c>
      <c r="E34" s="386">
        <f>IFERROR(IF(ISNUMBER(E32),IF(ISNUMBER(D34),E32+D34,E32),NA()),NA())</f>
        <v>-1355813.9534883723</v>
      </c>
      <c r="F34" s="386">
        <f t="shared" ref="F34:Y34" si="15">IFERROR(IF(ISNUMBER(F32),IF(ISNUMBER(E34),F32+E34,F32),NA()),NA())</f>
        <v>-2300000</v>
      </c>
      <c r="G34" s="386">
        <f t="shared" si="15"/>
        <v>-2900000</v>
      </c>
      <c r="H34" s="386">
        <f t="shared" si="15"/>
        <v>-2998500</v>
      </c>
      <c r="I34" s="386">
        <f t="shared" si="15"/>
        <v>-2949184</v>
      </c>
      <c r="J34" s="386">
        <f t="shared" si="15"/>
        <v>-2593376.1119999997</v>
      </c>
      <c r="K34" s="386">
        <f t="shared" si="15"/>
        <v>-1991503.8148159997</v>
      </c>
      <c r="L34" s="386">
        <f t="shared" si="15"/>
        <v>-1009875.8322570876</v>
      </c>
      <c r="M34" s="386">
        <f t="shared" si="15"/>
        <v>475556.16825519386</v>
      </c>
      <c r="N34" s="386">
        <f t="shared" si="15"/>
        <v>2668486.82828678</v>
      </c>
      <c r="O34" s="386">
        <f t="shared" si="15"/>
        <v>5552676.2526996862</v>
      </c>
      <c r="P34" s="386">
        <f t="shared" si="15"/>
        <v>9065341.7019194253</v>
      </c>
      <c r="Q34" s="386">
        <f t="shared" si="15"/>
        <v>13073857.596152673</v>
      </c>
      <c r="R34" s="386" t="e">
        <f t="shared" si="15"/>
        <v>#N/A</v>
      </c>
      <c r="S34" s="386" t="e">
        <f t="shared" si="15"/>
        <v>#N/A</v>
      </c>
      <c r="T34" s="386" t="e">
        <f t="shared" si="15"/>
        <v>#N/A</v>
      </c>
      <c r="U34" s="386" t="e">
        <f t="shared" si="15"/>
        <v>#N/A</v>
      </c>
      <c r="V34" s="386" t="e">
        <f t="shared" si="15"/>
        <v>#N/A</v>
      </c>
      <c r="W34" s="386" t="e">
        <f t="shared" si="15"/>
        <v>#N/A</v>
      </c>
      <c r="X34" s="386" t="e">
        <f t="shared" si="15"/>
        <v>#N/A</v>
      </c>
      <c r="Y34" s="386" t="e">
        <f t="shared" si="15"/>
        <v>#N/A</v>
      </c>
      <c r="Z34" s="398"/>
    </row>
    <row r="35" spans="1:26" x14ac:dyDescent="0.2">
      <c r="A35" s="387"/>
      <c r="B35" s="524"/>
      <c r="C35" s="529" t="s">
        <v>102</v>
      </c>
      <c r="D35" s="422" t="s">
        <v>109</v>
      </c>
      <c r="E35" s="382">
        <f>IFERROR((E31/(1+$D$4)^(E$8)),NA())</f>
        <v>-463953.48837209318</v>
      </c>
      <c r="F35" s="382">
        <f t="shared" ref="F35:Y35" si="16">IFERROR((F31/(1+$D$4)^(F$8)),NA())</f>
        <v>-396405.91966173355</v>
      </c>
      <c r="G35" s="382">
        <f t="shared" si="16"/>
        <v>-247933.88429752062</v>
      </c>
      <c r="H35" s="382">
        <f t="shared" si="16"/>
        <v>-74004.507888805383</v>
      </c>
      <c r="I35" s="382">
        <f t="shared" si="16"/>
        <v>33683.491564783821</v>
      </c>
      <c r="J35" s="382">
        <f t="shared" si="16"/>
        <v>220928.70457184364</v>
      </c>
      <c r="K35" s="382">
        <f t="shared" si="16"/>
        <v>339741.22098194744</v>
      </c>
      <c r="L35" s="382">
        <f t="shared" si="16"/>
        <v>503730.36833253608</v>
      </c>
      <c r="M35" s="382">
        <f t="shared" si="16"/>
        <v>692964.99103868741</v>
      </c>
      <c r="N35" s="382">
        <f t="shared" si="16"/>
        <v>930016.6701753966</v>
      </c>
      <c r="O35" s="382">
        <f t="shared" si="16"/>
        <v>1111979.8780260189</v>
      </c>
      <c r="P35" s="382">
        <f t="shared" si="16"/>
        <v>1231167.8108705829</v>
      </c>
      <c r="Q35" s="382">
        <f t="shared" si="16"/>
        <v>1277236.6971845008</v>
      </c>
      <c r="R35" s="382" t="e">
        <f t="shared" si="16"/>
        <v>#N/A</v>
      </c>
      <c r="S35" s="382" t="e">
        <f t="shared" si="16"/>
        <v>#N/A</v>
      </c>
      <c r="T35" s="382" t="e">
        <f t="shared" si="16"/>
        <v>#N/A</v>
      </c>
      <c r="U35" s="382" t="e">
        <f t="shared" si="16"/>
        <v>#N/A</v>
      </c>
      <c r="V35" s="382" t="e">
        <f t="shared" si="16"/>
        <v>#N/A</v>
      </c>
      <c r="W35" s="382" t="e">
        <f t="shared" si="16"/>
        <v>#N/A</v>
      </c>
      <c r="X35" s="382" t="e">
        <f t="shared" si="16"/>
        <v>#N/A</v>
      </c>
      <c r="Y35" s="382" t="e">
        <f t="shared" si="16"/>
        <v>#N/A</v>
      </c>
      <c r="Z35" s="398"/>
    </row>
    <row r="36" spans="1:26" ht="13.5" thickBot="1" x14ac:dyDescent="0.25">
      <c r="A36" s="387"/>
      <c r="B36" s="525"/>
      <c r="C36" s="530"/>
      <c r="D36" s="429" t="s">
        <v>110</v>
      </c>
      <c r="E36" s="430">
        <f>IFERROR((E32/(1+$D$4)^(E$8)),NA())</f>
        <v>-1355813.9534883723</v>
      </c>
      <c r="F36" s="430">
        <f t="shared" ref="F36:Y36" si="17">IFERROR((F32/(1+$D$4)^(F$8)),NA())</f>
        <v>-858350.95137420704</v>
      </c>
      <c r="G36" s="430">
        <f t="shared" si="17"/>
        <v>-495867.76859504124</v>
      </c>
      <c r="H36" s="430">
        <f t="shared" si="17"/>
        <v>-74004.507888805383</v>
      </c>
      <c r="I36" s="430">
        <f t="shared" si="17"/>
        <v>33683.491564783821</v>
      </c>
      <c r="J36" s="430">
        <f t="shared" si="17"/>
        <v>220928.70457184364</v>
      </c>
      <c r="K36" s="430">
        <f t="shared" si="17"/>
        <v>339741.22098194744</v>
      </c>
      <c r="L36" s="430">
        <f t="shared" si="17"/>
        <v>503730.36833253608</v>
      </c>
      <c r="M36" s="430">
        <f t="shared" si="17"/>
        <v>692964.99103868741</v>
      </c>
      <c r="N36" s="430">
        <f t="shared" si="17"/>
        <v>930016.6701753966</v>
      </c>
      <c r="O36" s="430">
        <f t="shared" si="17"/>
        <v>1111979.8780260189</v>
      </c>
      <c r="P36" s="430">
        <f t="shared" si="17"/>
        <v>1231167.8108705829</v>
      </c>
      <c r="Q36" s="430">
        <f t="shared" si="17"/>
        <v>1277236.6971845008</v>
      </c>
      <c r="R36" s="430" t="e">
        <f t="shared" si="17"/>
        <v>#N/A</v>
      </c>
      <c r="S36" s="430" t="e">
        <f t="shared" si="17"/>
        <v>#N/A</v>
      </c>
      <c r="T36" s="430" t="e">
        <f t="shared" si="17"/>
        <v>#N/A</v>
      </c>
      <c r="U36" s="430" t="e">
        <f t="shared" si="17"/>
        <v>#N/A</v>
      </c>
      <c r="V36" s="430" t="e">
        <f t="shared" si="17"/>
        <v>#N/A</v>
      </c>
      <c r="W36" s="430" t="e">
        <f t="shared" si="17"/>
        <v>#N/A</v>
      </c>
      <c r="X36" s="430" t="e">
        <f t="shared" si="17"/>
        <v>#N/A</v>
      </c>
      <c r="Y36" s="430" t="e">
        <f t="shared" si="17"/>
        <v>#N/A</v>
      </c>
      <c r="Z36" s="427"/>
    </row>
    <row r="37" spans="1:26" x14ac:dyDescent="0.2">
      <c r="A37" s="387"/>
      <c r="B37" s="431"/>
      <c r="C37" s="432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387"/>
    </row>
    <row r="38" spans="1:26" x14ac:dyDescent="0.2">
      <c r="A38" s="387"/>
      <c r="B38" s="153" t="s">
        <v>120</v>
      </c>
      <c r="C38" s="434"/>
      <c r="D38" s="387"/>
      <c r="E38" s="434"/>
      <c r="F38" s="387"/>
      <c r="G38" s="387"/>
      <c r="H38" s="387"/>
      <c r="I38" s="153" t="s">
        <v>85</v>
      </c>
      <c r="J38" s="387"/>
      <c r="K38" s="387"/>
      <c r="L38" s="387"/>
      <c r="M38" s="434"/>
      <c r="N38" s="387"/>
      <c r="O38" s="435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387"/>
    </row>
    <row r="39" spans="1:26" x14ac:dyDescent="0.2">
      <c r="A39" s="387"/>
      <c r="B39" s="431"/>
      <c r="C39" s="398"/>
      <c r="D39" s="436"/>
      <c r="E39" s="437"/>
      <c r="F39" s="437"/>
      <c r="G39" s="437"/>
      <c r="H39" s="437"/>
      <c r="I39" s="437"/>
      <c r="J39" s="437"/>
      <c r="K39" s="437"/>
      <c r="L39" s="437"/>
      <c r="M39" s="387"/>
      <c r="N39" s="387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387"/>
    </row>
    <row r="40" spans="1:26" x14ac:dyDescent="0.2">
      <c r="A40" s="387"/>
      <c r="B40" s="431"/>
      <c r="C40" s="398"/>
      <c r="D40" s="436"/>
      <c r="E40" s="437"/>
      <c r="F40" s="437"/>
      <c r="G40" s="437"/>
      <c r="H40" s="437"/>
      <c r="I40" s="437"/>
      <c r="J40" s="437"/>
      <c r="K40" s="437"/>
      <c r="L40" s="387"/>
      <c r="M40" s="387"/>
      <c r="N40" s="387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387"/>
    </row>
    <row r="41" spans="1:26" x14ac:dyDescent="0.2">
      <c r="A41" s="387"/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387"/>
      <c r="M41" s="387"/>
      <c r="N41" s="387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387"/>
    </row>
    <row r="42" spans="1:26" x14ac:dyDescent="0.2">
      <c r="A42" s="387"/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433"/>
      <c r="P42" s="433"/>
      <c r="Q42" s="433"/>
      <c r="R42" s="433"/>
      <c r="S42" s="387"/>
      <c r="T42" s="387"/>
      <c r="U42" s="433"/>
      <c r="V42" s="433"/>
      <c r="W42" s="433"/>
      <c r="X42" s="433"/>
      <c r="Y42" s="433"/>
      <c r="Z42" s="387"/>
    </row>
    <row r="43" spans="1:26" x14ac:dyDescent="0.2">
      <c r="A43" s="387"/>
      <c r="B43" s="438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433"/>
      <c r="P43" s="433"/>
      <c r="Q43" s="433"/>
      <c r="R43" s="433"/>
      <c r="S43" s="387"/>
      <c r="T43" s="387"/>
      <c r="U43" s="433"/>
      <c r="V43" s="433"/>
      <c r="W43" s="433"/>
      <c r="X43" s="433"/>
      <c r="Y43" s="433"/>
      <c r="Z43" s="387"/>
    </row>
    <row r="44" spans="1:26" x14ac:dyDescent="0.2">
      <c r="A44" s="387"/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433"/>
      <c r="P44" s="433"/>
      <c r="Q44" s="433"/>
      <c r="R44" s="433"/>
      <c r="S44" s="387"/>
      <c r="T44" s="387"/>
      <c r="U44" s="433"/>
      <c r="V44" s="433"/>
      <c r="W44" s="433"/>
      <c r="X44" s="433"/>
      <c r="Y44" s="433"/>
      <c r="Z44" s="387"/>
    </row>
    <row r="45" spans="1:26" x14ac:dyDescent="0.2">
      <c r="A45" s="387"/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387"/>
    </row>
    <row r="46" spans="1:26" x14ac:dyDescent="0.2">
      <c r="A46" s="387"/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387"/>
    </row>
    <row r="47" spans="1:26" x14ac:dyDescent="0.2">
      <c r="A47" s="387"/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387"/>
    </row>
    <row r="48" spans="1:26" x14ac:dyDescent="0.2">
      <c r="A48" s="387"/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387"/>
    </row>
    <row r="49" spans="1:27" x14ac:dyDescent="0.2">
      <c r="A49" s="387"/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387"/>
    </row>
    <row r="50" spans="1:27" x14ac:dyDescent="0.2">
      <c r="A50" s="387"/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387"/>
    </row>
    <row r="51" spans="1:27" x14ac:dyDescent="0.2">
      <c r="A51" s="387"/>
      <c r="B51" s="387"/>
      <c r="C51" s="387"/>
      <c r="D51" s="387"/>
      <c r="E51" s="387"/>
      <c r="F51" s="398"/>
      <c r="G51" s="387"/>
      <c r="H51" s="387"/>
      <c r="I51" s="387"/>
      <c r="J51" s="387"/>
      <c r="K51" s="387"/>
      <c r="L51" s="387"/>
      <c r="M51" s="387"/>
      <c r="N51" s="387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387"/>
    </row>
    <row r="52" spans="1:27" x14ac:dyDescent="0.2">
      <c r="A52" s="387"/>
      <c r="B52" s="387"/>
      <c r="C52" s="387"/>
      <c r="D52" s="387"/>
      <c r="E52" s="387"/>
      <c r="F52" s="398"/>
      <c r="G52" s="387"/>
      <c r="H52" s="387"/>
      <c r="I52" s="387"/>
      <c r="J52" s="387"/>
      <c r="K52" s="387"/>
      <c r="L52" s="387"/>
      <c r="M52" s="387"/>
      <c r="N52" s="387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387"/>
    </row>
    <row r="53" spans="1:27" ht="13.5" thickBot="1" x14ac:dyDescent="0.25">
      <c r="A53" s="387"/>
      <c r="B53" s="387"/>
      <c r="C53" s="387"/>
      <c r="D53" s="387"/>
      <c r="E53" s="387"/>
      <c r="F53" s="433"/>
      <c r="G53" s="433"/>
      <c r="H53" s="433"/>
      <c r="I53" s="433"/>
      <c r="J53" s="433"/>
      <c r="K53" s="433"/>
      <c r="L53" s="387"/>
      <c r="M53" s="387"/>
      <c r="N53" s="387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387"/>
    </row>
    <row r="54" spans="1:27" x14ac:dyDescent="0.2">
      <c r="A54" s="387"/>
      <c r="B54" s="387"/>
      <c r="C54" s="387"/>
      <c r="D54" s="387"/>
      <c r="E54" s="519" t="s">
        <v>65</v>
      </c>
      <c r="F54" s="520"/>
      <c r="G54" s="387"/>
      <c r="H54" s="387"/>
      <c r="I54" s="387"/>
      <c r="J54" s="387"/>
      <c r="K54" s="387"/>
      <c r="L54" s="387"/>
      <c r="M54" s="387"/>
      <c r="N54" s="519" t="s">
        <v>64</v>
      </c>
      <c r="O54" s="520"/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387"/>
    </row>
    <row r="55" spans="1:27" x14ac:dyDescent="0.2">
      <c r="A55" s="387"/>
      <c r="B55" s="387"/>
      <c r="C55" s="387"/>
      <c r="D55" s="439"/>
      <c r="E55" s="440" t="s">
        <v>66</v>
      </c>
      <c r="F55" s="441" t="str">
        <f>CONCATENATE("year ",COUNTIF(E33:Y33,"&lt;0"))</f>
        <v>year 7</v>
      </c>
      <c r="G55" s="387"/>
      <c r="H55" s="387"/>
      <c r="I55" s="387"/>
      <c r="J55" s="387"/>
      <c r="K55" s="387"/>
      <c r="L55" s="387"/>
      <c r="M55" s="387"/>
      <c r="N55" s="440" t="s">
        <v>66</v>
      </c>
      <c r="O55" s="442" t="str">
        <f>CONCATENATE("year ",COUNTIF(E34:Y34,"&lt;0"))</f>
        <v>year 8</v>
      </c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387"/>
    </row>
    <row r="56" spans="1:27" x14ac:dyDescent="0.2">
      <c r="A56" s="387"/>
      <c r="B56" s="387"/>
      <c r="C56" s="387"/>
      <c r="D56" s="387"/>
      <c r="E56" s="443" t="s">
        <v>62</v>
      </c>
      <c r="F56" s="444">
        <f>IF(SUM(E31:Y31)=0,0,IRR(E31:Y31))</f>
        <v>0.34761486340242942</v>
      </c>
      <c r="G56" s="387"/>
      <c r="H56" s="387"/>
      <c r="I56" s="387"/>
      <c r="J56" s="387"/>
      <c r="K56" s="387"/>
      <c r="L56" s="387"/>
      <c r="M56" s="387"/>
      <c r="N56" s="443" t="s">
        <v>62</v>
      </c>
      <c r="O56" s="444">
        <f>IF(SUM(E32:Y32)=0,0,IRR(E32:Y32))</f>
        <v>0.20966011731256806</v>
      </c>
      <c r="P56" s="433"/>
      <c r="Q56" s="433"/>
      <c r="R56" s="433"/>
      <c r="S56" s="433"/>
      <c r="T56" s="433"/>
      <c r="U56" s="433"/>
      <c r="V56" s="433"/>
      <c r="W56" s="433"/>
      <c r="X56" s="433"/>
      <c r="Y56" s="433"/>
      <c r="Z56" s="387"/>
    </row>
    <row r="57" spans="1:27" ht="13.5" thickBot="1" x14ac:dyDescent="0.25">
      <c r="A57" s="387"/>
      <c r="B57" s="387"/>
      <c r="C57" s="387"/>
      <c r="D57" s="387"/>
      <c r="E57" s="445" t="s">
        <v>63</v>
      </c>
      <c r="F57" s="446">
        <f>NPV($D$4,F31:Y31)-E21</f>
        <v>5159152.0325261429</v>
      </c>
      <c r="G57" s="387"/>
      <c r="H57" s="387"/>
      <c r="I57" s="387"/>
      <c r="J57" s="387"/>
      <c r="K57" s="387"/>
      <c r="L57" s="387"/>
      <c r="M57" s="387"/>
      <c r="N57" s="445" t="s">
        <v>63</v>
      </c>
      <c r="O57" s="446">
        <f>NPV($D$4,F32:Y32)-E22</f>
        <v>3557412.6513998704</v>
      </c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387"/>
    </row>
    <row r="58" spans="1:27" x14ac:dyDescent="0.2">
      <c r="A58" s="387"/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387"/>
    </row>
    <row r="59" spans="1:27" x14ac:dyDescent="0.2">
      <c r="A59" s="387"/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387"/>
    </row>
    <row r="60" spans="1:27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13"/>
      <c r="AA88" s="13"/>
    </row>
    <row r="89" spans="1:27" x14ac:dyDescent="0.2">
      <c r="D89" s="7"/>
    </row>
    <row r="107" spans="26:26" x14ac:dyDescent="0.2">
      <c r="Z107" s="13"/>
    </row>
    <row r="108" spans="26:26" x14ac:dyDescent="0.2">
      <c r="Z108" s="13"/>
    </row>
    <row r="109" spans="26:26" x14ac:dyDescent="0.2">
      <c r="Z109" s="13"/>
    </row>
    <row r="110" spans="26:26" x14ac:dyDescent="0.2">
      <c r="Z110" s="13"/>
    </row>
    <row r="111" spans="26:26" x14ac:dyDescent="0.2">
      <c r="Z111" s="13"/>
    </row>
    <row r="112" spans="26:26" x14ac:dyDescent="0.2">
      <c r="Z112" s="13"/>
    </row>
    <row r="113" spans="2:26" x14ac:dyDescent="0.2">
      <c r="Z113" s="13"/>
    </row>
    <row r="114" spans="2:26" ht="13.5" customHeight="1" x14ac:dyDescent="0.2">
      <c r="Z114" s="13"/>
    </row>
    <row r="115" spans="2:26" ht="13.5" customHeight="1" x14ac:dyDescent="0.2">
      <c r="Z115" s="13"/>
    </row>
    <row r="116" spans="2:26" x14ac:dyDescent="0.2">
      <c r="Z116" s="13"/>
    </row>
    <row r="117" spans="2:26" x14ac:dyDescent="0.2">
      <c r="Z117" s="13"/>
    </row>
    <row r="118" spans="2:26" x14ac:dyDescent="0.2">
      <c r="Z118" s="13"/>
    </row>
    <row r="119" spans="2:26" ht="12.75" customHeight="1" x14ac:dyDescent="0.2">
      <c r="Z119" s="13"/>
    </row>
    <row r="120" spans="2:26" ht="12.75" customHeight="1" x14ac:dyDescent="0.2">
      <c r="Z120" s="13"/>
    </row>
    <row r="121" spans="2:26" ht="12.75" customHeight="1" x14ac:dyDescent="0.2">
      <c r="Z121" s="13"/>
    </row>
    <row r="122" spans="2:26" x14ac:dyDescent="0.2">
      <c r="Z122" s="13"/>
    </row>
    <row r="123" spans="2:26" x14ac:dyDescent="0.2">
      <c r="Z123" s="13"/>
    </row>
    <row r="124" spans="2:26" x14ac:dyDescent="0.2">
      <c r="Z124" s="13"/>
    </row>
    <row r="125" spans="2:26" x14ac:dyDescent="0.2"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13"/>
    </row>
    <row r="126" spans="2:26" x14ac:dyDescent="0.2">
      <c r="B126" s="24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13"/>
    </row>
    <row r="127" spans="2:26" x14ac:dyDescent="0.2">
      <c r="B127" s="24"/>
      <c r="C127" s="27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13"/>
    </row>
    <row r="128" spans="2:26" x14ac:dyDescent="0.2"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13"/>
    </row>
    <row r="129" spans="5:26" x14ac:dyDescent="0.2"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13"/>
    </row>
    <row r="130" spans="5:26" x14ac:dyDescent="0.2"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13"/>
    </row>
  </sheetData>
  <sheetProtection sheet="1" objects="1" scenarios="1"/>
  <mergeCells count="14">
    <mergeCell ref="E54:F54"/>
    <mergeCell ref="N54:O54"/>
    <mergeCell ref="C28:C29"/>
    <mergeCell ref="B31:B36"/>
    <mergeCell ref="B6:B30"/>
    <mergeCell ref="C33:C34"/>
    <mergeCell ref="C35:C36"/>
    <mergeCell ref="C9:C11"/>
    <mergeCell ref="C18:C20"/>
    <mergeCell ref="C14:C17"/>
    <mergeCell ref="C31:C32"/>
    <mergeCell ref="C23:C24"/>
    <mergeCell ref="C21:C22"/>
    <mergeCell ref="C26:C27"/>
  </mergeCells>
  <phoneticPr fontId="3" type="noConversion"/>
  <conditionalFormatting sqref="L3:L5 E25:Y25 E30:Y30">
    <cfRule type="expression" dxfId="51" priority="42">
      <formula>ISNA(E$8)</formula>
    </cfRule>
  </conditionalFormatting>
  <conditionalFormatting sqref="M3:M5">
    <cfRule type="expression" dxfId="50" priority="37">
      <formula>ISNA(M$8)</formula>
    </cfRule>
  </conditionalFormatting>
  <conditionalFormatting sqref="N3:N5">
    <cfRule type="expression" dxfId="49" priority="36">
      <formula>ISNA(N$8)</formula>
    </cfRule>
  </conditionalFormatting>
  <conditionalFormatting sqref="O3:O5">
    <cfRule type="expression" dxfId="48" priority="35">
      <formula>ISNA(O$8)</formula>
    </cfRule>
  </conditionalFormatting>
  <conditionalFormatting sqref="P3:P5">
    <cfRule type="expression" dxfId="47" priority="34">
      <formula>ISNA(P$8)</formula>
    </cfRule>
  </conditionalFormatting>
  <conditionalFormatting sqref="Q3:Q5">
    <cfRule type="expression" dxfId="46" priority="33">
      <formula>ISNA(Q$8)</formula>
    </cfRule>
  </conditionalFormatting>
  <conditionalFormatting sqref="R3:R5">
    <cfRule type="expression" dxfId="45" priority="32">
      <formula>ISNA(R$8)</formula>
    </cfRule>
  </conditionalFormatting>
  <conditionalFormatting sqref="S3:S5">
    <cfRule type="expression" dxfId="44" priority="31">
      <formula>ISNA(S$8)</formula>
    </cfRule>
  </conditionalFormatting>
  <conditionalFormatting sqref="T3:T5">
    <cfRule type="expression" dxfId="43" priority="30">
      <formula>ISNA(T$8)</formula>
    </cfRule>
  </conditionalFormatting>
  <conditionalFormatting sqref="U3:U5">
    <cfRule type="expression" dxfId="42" priority="29">
      <formula>ISNA(U$8)</formula>
    </cfRule>
  </conditionalFormatting>
  <conditionalFormatting sqref="V3:V5">
    <cfRule type="expression" dxfId="41" priority="28">
      <formula>ISNA(V$8)</formula>
    </cfRule>
  </conditionalFormatting>
  <conditionalFormatting sqref="W3:W5">
    <cfRule type="expression" dxfId="40" priority="27">
      <formula>ISNA(W$8)</formula>
    </cfRule>
  </conditionalFormatting>
  <conditionalFormatting sqref="X3:X5">
    <cfRule type="expression" dxfId="39" priority="26">
      <formula>ISNA(X$8)</formula>
    </cfRule>
  </conditionalFormatting>
  <conditionalFormatting sqref="Y3:Y5">
    <cfRule type="expression" dxfId="38" priority="25">
      <formula>ISNA(Y$8)</formula>
    </cfRule>
  </conditionalFormatting>
  <conditionalFormatting sqref="K3:K5">
    <cfRule type="expression" dxfId="37" priority="24">
      <formula>ISNA(K$8)</formula>
    </cfRule>
  </conditionalFormatting>
  <conditionalFormatting sqref="J3:J5">
    <cfRule type="expression" dxfId="36" priority="23">
      <formula>ISNA(J$8)</formula>
    </cfRule>
  </conditionalFormatting>
  <conditionalFormatting sqref="I3:I5">
    <cfRule type="expression" dxfId="35" priority="22">
      <formula>ISNA(I$8)</formula>
    </cfRule>
  </conditionalFormatting>
  <conditionalFormatting sqref="H3:H5">
    <cfRule type="expression" dxfId="34" priority="21">
      <formula>ISNA(H$8)</formula>
    </cfRule>
  </conditionalFormatting>
  <conditionalFormatting sqref="G3:G5">
    <cfRule type="expression" dxfId="33" priority="20">
      <formula>ISNA(G$8)</formula>
    </cfRule>
  </conditionalFormatting>
  <conditionalFormatting sqref="F3:F5">
    <cfRule type="expression" dxfId="32" priority="19">
      <formula>ISNA(F$8)</formula>
    </cfRule>
  </conditionalFormatting>
  <conditionalFormatting sqref="E6:Y36">
    <cfRule type="expression" dxfId="31" priority="18">
      <formula>ISNA(E6)</formula>
    </cfRule>
  </conditionalFormatting>
  <conditionalFormatting sqref="E23:Y23">
    <cfRule type="expression" dxfId="30" priority="17">
      <formula>ISNA(E$8)</formula>
    </cfRule>
  </conditionalFormatting>
  <conditionalFormatting sqref="E24:Y24">
    <cfRule type="expression" dxfId="29" priority="15">
      <formula>ISNA(E$8)</formula>
    </cfRule>
  </conditionalFormatting>
  <conditionalFormatting sqref="E7:Y7">
    <cfRule type="expression" dxfId="28" priority="1">
      <formula>E$7=""</formula>
    </cfRule>
    <cfRule type="expression" dxfId="27" priority="14">
      <formula>ISNA(E$8)</formula>
    </cfRule>
  </conditionalFormatting>
  <conditionalFormatting sqref="E6:Y6">
    <cfRule type="expression" dxfId="26" priority="2">
      <formula>E$6=""</formula>
    </cfRule>
  </conditionalFormatting>
  <pageMargins left="0.75" right="0.75" top="1" bottom="1" header="0.5" footer="0.5"/>
  <pageSetup scale="5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U143"/>
  <sheetViews>
    <sheetView zoomScaleNormal="100" workbookViewId="0"/>
  </sheetViews>
  <sheetFormatPr defaultRowHeight="12.75" x14ac:dyDescent="0.2"/>
  <cols>
    <col min="1" max="1" width="2.5703125" customWidth="1"/>
    <col min="2" max="2" width="7" customWidth="1"/>
    <col min="3" max="3" width="26.7109375" customWidth="1"/>
    <col min="4" max="4" width="9.85546875" customWidth="1"/>
    <col min="5" max="5" width="10" customWidth="1"/>
    <col min="6" max="6" width="9.85546875" customWidth="1"/>
    <col min="7" max="7" width="10.140625" customWidth="1"/>
    <col min="8" max="11" width="8.7109375" customWidth="1"/>
    <col min="12" max="12" width="9.7109375" customWidth="1"/>
    <col min="13" max="13" width="10.5703125" customWidth="1"/>
    <col min="14" max="14" width="7.140625" customWidth="1"/>
    <col min="15" max="15" width="7" customWidth="1"/>
    <col min="16" max="16" width="3" customWidth="1"/>
    <col min="17" max="17" width="3.140625" customWidth="1"/>
    <col min="18" max="18" width="17.85546875" customWidth="1"/>
    <col min="19" max="19" width="22.7109375" bestFit="1" customWidth="1"/>
    <col min="22" max="22" width="10.5703125" bestFit="1" customWidth="1"/>
    <col min="23" max="25" width="12.5703125" customWidth="1"/>
    <col min="26" max="26" width="13.85546875" customWidth="1"/>
    <col min="27" max="43" width="12.5703125" customWidth="1"/>
  </cols>
  <sheetData>
    <row r="1" spans="1:46" x14ac:dyDescent="0.2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151"/>
      <c r="Q1" s="284"/>
      <c r="R1" s="155"/>
      <c r="S1" s="155"/>
      <c r="T1" s="154"/>
      <c r="U1" s="154"/>
      <c r="V1" s="154"/>
      <c r="W1" s="154"/>
      <c r="X1" s="154"/>
      <c r="Y1" s="154"/>
      <c r="Z1" s="154"/>
      <c r="AA1" s="154"/>
      <c r="AB1" s="154"/>
      <c r="AC1" s="157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0"/>
    </row>
    <row r="2" spans="1:46" ht="18.75" thickBot="1" x14ac:dyDescent="0.3">
      <c r="A2" s="291"/>
      <c r="B2" s="292" t="str">
        <f>I.InputData!B2</f>
        <v>I.</v>
      </c>
      <c r="C2" s="574" t="str">
        <f>I.InputData!C2</f>
        <v>Input Data</v>
      </c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151"/>
      <c r="Q2" s="284"/>
      <c r="R2" s="155"/>
      <c r="S2" s="155"/>
      <c r="T2" s="155"/>
      <c r="U2" s="155"/>
      <c r="V2" s="155"/>
      <c r="W2" s="155"/>
      <c r="X2" s="155"/>
      <c r="Y2" s="155"/>
      <c r="Z2" s="155"/>
      <c r="AA2" s="156"/>
      <c r="AB2" s="155"/>
      <c r="AC2" s="157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0"/>
    </row>
    <row r="3" spans="1:46" ht="18" x14ac:dyDescent="0.25">
      <c r="A3" s="291"/>
      <c r="B3" s="293"/>
      <c r="C3" s="294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151"/>
      <c r="Q3" s="284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9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4"/>
      <c r="AP3" s="154"/>
      <c r="AQ3" s="154"/>
      <c r="AR3" s="154"/>
      <c r="AS3" s="154"/>
      <c r="AT3" s="150"/>
    </row>
    <row r="4" spans="1:46" ht="15.75" thickBot="1" x14ac:dyDescent="0.3">
      <c r="A4" s="291"/>
      <c r="B4" s="291"/>
      <c r="C4" s="295" t="str">
        <f>I.InputData!C4</f>
        <v>Table 1. Planning and Costing Summary</v>
      </c>
      <c r="D4" s="296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151"/>
      <c r="Q4" s="284"/>
      <c r="R4" s="155"/>
      <c r="S4" s="285" t="s">
        <v>151</v>
      </c>
      <c r="T4" s="155"/>
      <c r="U4" s="155"/>
      <c r="V4" s="155"/>
      <c r="W4" s="155"/>
      <c r="X4" s="155"/>
      <c r="Y4" s="155"/>
      <c r="Z4" s="155"/>
      <c r="AA4" s="155"/>
      <c r="AB4" s="155"/>
      <c r="AC4" s="157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0"/>
    </row>
    <row r="5" spans="1:46" ht="15.75" customHeight="1" x14ac:dyDescent="0.2">
      <c r="A5" s="291"/>
      <c r="B5" s="557" t="str">
        <f>I.InputData!B5</f>
        <v>Planning and Costing Summary</v>
      </c>
      <c r="C5" s="575" t="str">
        <f>I.InputData!C5</f>
        <v>Phase</v>
      </c>
      <c r="D5" s="577" t="str">
        <f>I.InputData!D5</f>
        <v>Included in proposed activity?</v>
      </c>
      <c r="E5" s="579" t="str">
        <f>I.InputData!E5</f>
        <v>Total Cost kEUR</v>
      </c>
      <c r="F5" s="297" t="str">
        <f>I.InputData!F5</f>
        <v>ESA Funding</v>
      </c>
      <c r="G5" s="297" t="str">
        <f>I.InputData!G5</f>
        <v>Start</v>
      </c>
      <c r="H5" s="298" t="str">
        <f>I.InputData!H5</f>
        <v>Conclusion</v>
      </c>
      <c r="I5" s="291"/>
      <c r="J5" s="291"/>
      <c r="K5" s="291"/>
      <c r="L5" s="291"/>
      <c r="M5" s="291"/>
      <c r="N5" s="291"/>
      <c r="O5" s="291"/>
      <c r="P5" s="151"/>
      <c r="Q5" s="284"/>
      <c r="R5" s="155"/>
      <c r="S5" s="161" t="s">
        <v>122</v>
      </c>
      <c r="T5" s="162" t="str">
        <f>IF(AND(T6="",T7=""),"",IF(OR(S5="",ISTEXT(S5)),0,S5+1))</f>
        <v/>
      </c>
      <c r="U5" s="162" t="str">
        <f t="shared" ref="U5:AN5" si="0">IF(AND(U6="",U7=""),"",IF(OR(T5="",ISTEXT(T5)),0,T5+1))</f>
        <v/>
      </c>
      <c r="V5" s="162" t="str">
        <f t="shared" si="0"/>
        <v/>
      </c>
      <c r="W5" s="162" t="str">
        <f t="shared" si="0"/>
        <v/>
      </c>
      <c r="X5" s="162" t="str">
        <f t="shared" si="0"/>
        <v/>
      </c>
      <c r="Y5" s="162" t="str">
        <f t="shared" si="0"/>
        <v/>
      </c>
      <c r="Z5" s="162" t="str">
        <f t="shared" si="0"/>
        <v/>
      </c>
      <c r="AA5" s="162">
        <f t="shared" si="0"/>
        <v>0</v>
      </c>
      <c r="AB5" s="162">
        <f t="shared" si="0"/>
        <v>1</v>
      </c>
      <c r="AC5" s="163">
        <f t="shared" si="0"/>
        <v>2</v>
      </c>
      <c r="AD5" s="162">
        <f t="shared" si="0"/>
        <v>3</v>
      </c>
      <c r="AE5" s="162">
        <f t="shared" si="0"/>
        <v>4</v>
      </c>
      <c r="AF5" s="162">
        <f t="shared" si="0"/>
        <v>5</v>
      </c>
      <c r="AG5" s="162">
        <f t="shared" si="0"/>
        <v>6</v>
      </c>
      <c r="AH5" s="162">
        <f t="shared" si="0"/>
        <v>7</v>
      </c>
      <c r="AI5" s="162">
        <f t="shared" si="0"/>
        <v>8</v>
      </c>
      <c r="AJ5" s="162">
        <f t="shared" si="0"/>
        <v>9</v>
      </c>
      <c r="AK5" s="162">
        <f t="shared" si="0"/>
        <v>10</v>
      </c>
      <c r="AL5" s="162">
        <f t="shared" si="0"/>
        <v>11</v>
      </c>
      <c r="AM5" s="162">
        <f t="shared" si="0"/>
        <v>12</v>
      </c>
      <c r="AN5" s="162" t="str">
        <f t="shared" si="0"/>
        <v/>
      </c>
      <c r="AO5" s="154"/>
      <c r="AP5" s="154"/>
      <c r="AQ5" s="154"/>
      <c r="AR5" s="154"/>
      <c r="AS5" s="154"/>
      <c r="AT5" s="150"/>
    </row>
    <row r="6" spans="1:46" ht="13.5" thickBot="1" x14ac:dyDescent="0.25">
      <c r="A6" s="291"/>
      <c r="B6" s="558"/>
      <c r="C6" s="576"/>
      <c r="D6" s="578"/>
      <c r="E6" s="580"/>
      <c r="F6" s="299" t="str">
        <f>I.InputData!F6</f>
        <v>% of Costs</v>
      </c>
      <c r="G6" s="299" t="str">
        <f>I.InputData!G6</f>
        <v>Mon-YY</v>
      </c>
      <c r="H6" s="300" t="str">
        <f>I.InputData!H6</f>
        <v>Mon-YY</v>
      </c>
      <c r="I6" s="291"/>
      <c r="J6" s="291"/>
      <c r="K6" s="291"/>
      <c r="L6" s="291"/>
      <c r="M6" s="291"/>
      <c r="N6" s="291"/>
      <c r="O6" s="291"/>
      <c r="P6" s="151"/>
      <c r="Q6" s="284"/>
      <c r="R6" s="155"/>
      <c r="S6" s="164" t="s">
        <v>134</v>
      </c>
      <c r="T6" s="165" t="str">
        <f>+IF(SUM(T32:T35)=0,"",0)</f>
        <v/>
      </c>
      <c r="U6" s="166" t="str">
        <f>+IF(SUM(U32:U35)=0,"",IF(T6="",0,T6+1))</f>
        <v/>
      </c>
      <c r="V6" s="166" t="str">
        <f t="shared" ref="V6:AB6" si="1">+IF(SUM(V32:V35)=0,"",IF(U6="",0,U6+1))</f>
        <v/>
      </c>
      <c r="W6" s="166" t="str">
        <f t="shared" si="1"/>
        <v/>
      </c>
      <c r="X6" s="166" t="str">
        <f t="shared" si="1"/>
        <v/>
      </c>
      <c r="Y6" s="166" t="str">
        <f t="shared" si="1"/>
        <v/>
      </c>
      <c r="Z6" s="166" t="str">
        <f t="shared" si="1"/>
        <v/>
      </c>
      <c r="AA6" s="166">
        <f t="shared" si="1"/>
        <v>0</v>
      </c>
      <c r="AB6" s="166">
        <f t="shared" si="1"/>
        <v>1</v>
      </c>
      <c r="AC6" s="167">
        <f>+IF(SUM(AC32:AC35)=0,"",IF(AB6="",0,AB6+1))</f>
        <v>2</v>
      </c>
      <c r="AD6" s="166" t="str">
        <f>+IF(SUM(AD32:AD35)=0,"",IF(AC6="",0,AC6+1))</f>
        <v/>
      </c>
      <c r="AE6" s="166" t="str">
        <f t="shared" ref="AE6:AN6" si="2">+IF(SUM(AE32:AE35)=0,"",IF(AD6="",0,AD6+1))</f>
        <v/>
      </c>
      <c r="AF6" s="166" t="str">
        <f t="shared" si="2"/>
        <v/>
      </c>
      <c r="AG6" s="166" t="str">
        <f t="shared" si="2"/>
        <v/>
      </c>
      <c r="AH6" s="166" t="str">
        <f t="shared" si="2"/>
        <v/>
      </c>
      <c r="AI6" s="166" t="str">
        <f t="shared" si="2"/>
        <v/>
      </c>
      <c r="AJ6" s="166" t="str">
        <f t="shared" si="2"/>
        <v/>
      </c>
      <c r="AK6" s="166" t="str">
        <f t="shared" si="2"/>
        <v/>
      </c>
      <c r="AL6" s="166" t="str">
        <f t="shared" si="2"/>
        <v/>
      </c>
      <c r="AM6" s="166" t="str">
        <f t="shared" si="2"/>
        <v/>
      </c>
      <c r="AN6" s="168" t="str">
        <f t="shared" si="2"/>
        <v/>
      </c>
      <c r="AO6" s="154"/>
      <c r="AP6" s="154"/>
      <c r="AQ6" s="154"/>
      <c r="AR6" s="154"/>
      <c r="AS6" s="154"/>
      <c r="AT6" s="150"/>
    </row>
    <row r="7" spans="1:46" x14ac:dyDescent="0.2">
      <c r="A7" s="291"/>
      <c r="B7" s="558"/>
      <c r="C7" s="301" t="str">
        <f>I.InputData!C7</f>
        <v>Definition</v>
      </c>
      <c r="D7" s="302" t="str">
        <f>I.InputData!D7</f>
        <v>YES</v>
      </c>
      <c r="E7" s="303">
        <f>I.InputData!E7</f>
        <v>500</v>
      </c>
      <c r="F7" s="304">
        <f>I.InputData!F7</f>
        <v>0.5</v>
      </c>
      <c r="G7" s="305">
        <f>I.InputData!G7</f>
        <v>43952</v>
      </c>
      <c r="H7" s="306">
        <f>I.InputData!H7</f>
        <v>43983</v>
      </c>
      <c r="I7" s="291"/>
      <c r="J7" s="291"/>
      <c r="K7" s="291"/>
      <c r="L7" s="291"/>
      <c r="M7" s="291"/>
      <c r="N7" s="291"/>
      <c r="O7" s="291"/>
      <c r="P7" s="151"/>
      <c r="Q7" s="284"/>
      <c r="R7" s="155"/>
      <c r="S7" s="169" t="s">
        <v>135</v>
      </c>
      <c r="T7" s="170" t="str">
        <f>""</f>
        <v/>
      </c>
      <c r="U7" s="171" t="str">
        <f>""</f>
        <v/>
      </c>
      <c r="V7" s="171" t="str">
        <f>""</f>
        <v/>
      </c>
      <c r="W7" s="171" t="str">
        <f>""</f>
        <v/>
      </c>
      <c r="X7" s="171" t="str">
        <f>""</f>
        <v/>
      </c>
      <c r="Y7" s="171" t="str">
        <f>""</f>
        <v/>
      </c>
      <c r="Z7" s="171" t="str">
        <f>""</f>
        <v/>
      </c>
      <c r="AA7" s="171" t="str">
        <f>""</f>
        <v/>
      </c>
      <c r="AB7" s="171" t="str">
        <f>""</f>
        <v/>
      </c>
      <c r="AC7" s="172" t="str">
        <f>""</f>
        <v/>
      </c>
      <c r="AD7" s="173">
        <f>IF($T27&gt;AD31,AD31,"")</f>
        <v>0</v>
      </c>
      <c r="AE7" s="173">
        <f>IF($T27&gt;AE31,AE31,"")</f>
        <v>1</v>
      </c>
      <c r="AF7" s="173">
        <f t="shared" ref="AF7:AN7" si="3">IF($T27&gt;AF31,AF31,"")</f>
        <v>2</v>
      </c>
      <c r="AG7" s="173">
        <f t="shared" si="3"/>
        <v>3</v>
      </c>
      <c r="AH7" s="173">
        <f t="shared" si="3"/>
        <v>4</v>
      </c>
      <c r="AI7" s="173">
        <f t="shared" si="3"/>
        <v>5</v>
      </c>
      <c r="AJ7" s="173">
        <f t="shared" si="3"/>
        <v>6</v>
      </c>
      <c r="AK7" s="173">
        <f t="shared" si="3"/>
        <v>7</v>
      </c>
      <c r="AL7" s="173">
        <f t="shared" si="3"/>
        <v>8</v>
      </c>
      <c r="AM7" s="173">
        <f t="shared" si="3"/>
        <v>9</v>
      </c>
      <c r="AN7" s="174" t="str">
        <f t="shared" si="3"/>
        <v/>
      </c>
      <c r="AO7" s="154"/>
      <c r="AP7" s="154"/>
      <c r="AQ7" s="154"/>
      <c r="AR7" s="154"/>
      <c r="AS7" s="154"/>
      <c r="AT7" s="150"/>
    </row>
    <row r="8" spans="1:46" x14ac:dyDescent="0.2">
      <c r="A8" s="291"/>
      <c r="B8" s="558"/>
      <c r="C8" s="307" t="str">
        <f>I.InputData!C8</f>
        <v>Technology</v>
      </c>
      <c r="D8" s="308" t="str">
        <f>I.InputData!D8</f>
        <v>YES</v>
      </c>
      <c r="E8" s="309">
        <f>I.InputData!E8</f>
        <v>1000</v>
      </c>
      <c r="F8" s="310">
        <f>I.InputData!F8</f>
        <v>0.75</v>
      </c>
      <c r="G8" s="311">
        <f>I.InputData!G8</f>
        <v>44013</v>
      </c>
      <c r="H8" s="312">
        <f>I.InputData!H8</f>
        <v>44228</v>
      </c>
      <c r="I8" s="291"/>
      <c r="J8" s="291"/>
      <c r="K8" s="291"/>
      <c r="L8" s="291"/>
      <c r="M8" s="291"/>
      <c r="N8" s="291"/>
      <c r="O8" s="291"/>
      <c r="P8" s="151"/>
      <c r="Q8" s="284"/>
      <c r="R8" s="155"/>
      <c r="S8" s="164" t="str">
        <f>+SUPPORT!AB43</f>
        <v>Sales Revenue</v>
      </c>
      <c r="T8" s="450"/>
      <c r="U8" s="450"/>
      <c r="V8" s="450"/>
      <c r="W8" s="450"/>
      <c r="X8" s="450"/>
      <c r="Y8" s="450"/>
      <c r="Z8" s="450"/>
      <c r="AA8" s="450"/>
      <c r="AB8" s="450"/>
      <c r="AC8" s="451"/>
      <c r="AD8" s="175">
        <f t="shared" ref="AD8:AN8" si="4">IF(AD5="","",+AD46)</f>
        <v>18000</v>
      </c>
      <c r="AE8" s="175">
        <f t="shared" si="4"/>
        <v>183600</v>
      </c>
      <c r="AF8" s="175">
        <f t="shared" si="4"/>
        <v>374544</v>
      </c>
      <c r="AG8" s="175">
        <f t="shared" si="4"/>
        <v>420238.36799999996</v>
      </c>
      <c r="AH8" s="175">
        <f t="shared" si="4"/>
        <v>584513.36639999994</v>
      </c>
      <c r="AI8" s="175">
        <f t="shared" si="4"/>
        <v>794938.17830400006</v>
      </c>
      <c r="AJ8" s="175">
        <f t="shared" si="4"/>
        <v>1114900.79507136</v>
      </c>
      <c r="AK8" s="175">
        <f t="shared" si="4"/>
        <v>1240580.5210612223</v>
      </c>
      <c r="AL8" s="175">
        <f t="shared" si="4"/>
        <v>1265392.1314824468</v>
      </c>
      <c r="AM8" s="175">
        <f t="shared" si="4"/>
        <v>1183141.6429360877</v>
      </c>
      <c r="AN8" s="176" t="str">
        <f t="shared" si="4"/>
        <v/>
      </c>
      <c r="AO8" s="154"/>
      <c r="AP8" s="154"/>
      <c r="AQ8" s="154"/>
      <c r="AR8" s="154"/>
      <c r="AS8" s="154"/>
      <c r="AT8" s="150"/>
    </row>
    <row r="9" spans="1:46" x14ac:dyDescent="0.2">
      <c r="A9" s="291"/>
      <c r="B9" s="558"/>
      <c r="C9" s="307" t="str">
        <f>I.InputData!C9</f>
        <v>Product</v>
      </c>
      <c r="D9" s="308" t="str">
        <f>I.InputData!D9</f>
        <v>YES</v>
      </c>
      <c r="E9" s="309">
        <f>I.InputData!E9</f>
        <v>800</v>
      </c>
      <c r="F9" s="310">
        <f>I.InputData!F9</f>
        <v>0.5</v>
      </c>
      <c r="G9" s="311">
        <f>I.InputData!G9</f>
        <v>44256</v>
      </c>
      <c r="H9" s="312">
        <f>I.InputData!H9</f>
        <v>44531</v>
      </c>
      <c r="I9" s="291"/>
      <c r="J9" s="291"/>
      <c r="K9" s="291"/>
      <c r="L9" s="291"/>
      <c r="M9" s="291"/>
      <c r="N9" s="291"/>
      <c r="O9" s="291"/>
      <c r="P9" s="151"/>
      <c r="Q9" s="284"/>
      <c r="R9" s="155"/>
      <c r="S9" s="169" t="str">
        <f>+SUPPORT!AB47</f>
        <v>Installation Revenue</v>
      </c>
      <c r="T9" s="452"/>
      <c r="U9" s="452"/>
      <c r="V9" s="452"/>
      <c r="W9" s="452"/>
      <c r="X9" s="452"/>
      <c r="Y9" s="452"/>
      <c r="Z9" s="452"/>
      <c r="AA9" s="452"/>
      <c r="AB9" s="452"/>
      <c r="AC9" s="453"/>
      <c r="AD9" s="175">
        <f>IF(AD5="","",+AD50)</f>
        <v>1500</v>
      </c>
      <c r="AE9" s="175">
        <f t="shared" ref="AE9:AN9" si="5">IF(AE5="","",+AE50)</f>
        <v>15300</v>
      </c>
      <c r="AF9" s="175">
        <f t="shared" si="5"/>
        <v>31212</v>
      </c>
      <c r="AG9" s="175">
        <f t="shared" si="5"/>
        <v>35019.863999999994</v>
      </c>
      <c r="AH9" s="175">
        <f t="shared" si="5"/>
        <v>48709.447200000002</v>
      </c>
      <c r="AI9" s="175">
        <f t="shared" si="5"/>
        <v>66244.848192000005</v>
      </c>
      <c r="AJ9" s="175">
        <f t="shared" si="5"/>
        <v>92908.399589280001</v>
      </c>
      <c r="AK9" s="175">
        <f t="shared" si="5"/>
        <v>103381.71008843518</v>
      </c>
      <c r="AL9" s="175">
        <f t="shared" si="5"/>
        <v>105449.3442902039</v>
      </c>
      <c r="AM9" s="175">
        <f t="shared" si="5"/>
        <v>98595.13691134064</v>
      </c>
      <c r="AN9" s="176" t="str">
        <f t="shared" si="5"/>
        <v/>
      </c>
      <c r="AO9" s="154"/>
      <c r="AP9" s="154"/>
      <c r="AQ9" s="154"/>
      <c r="AR9" s="154"/>
      <c r="AS9" s="154"/>
      <c r="AT9" s="150"/>
    </row>
    <row r="10" spans="1:46" x14ac:dyDescent="0.2">
      <c r="A10" s="291"/>
      <c r="B10" s="558"/>
      <c r="C10" s="307" t="str">
        <f>I.InputData!C10</f>
        <v>Demonstration</v>
      </c>
      <c r="D10" s="308" t="str">
        <f>I.InputData!D10</f>
        <v>YES</v>
      </c>
      <c r="E10" s="309">
        <f>I.InputData!E10</f>
        <v>600</v>
      </c>
      <c r="F10" s="310">
        <f>I.InputData!F10</f>
        <v>0.5</v>
      </c>
      <c r="G10" s="311">
        <f>I.InputData!G10</f>
        <v>44562</v>
      </c>
      <c r="H10" s="312">
        <f>I.InputData!H10</f>
        <v>44896</v>
      </c>
      <c r="I10" s="291"/>
      <c r="J10" s="291"/>
      <c r="K10" s="291"/>
      <c r="L10" s="291"/>
      <c r="M10" s="291"/>
      <c r="N10" s="291"/>
      <c r="O10" s="291"/>
      <c r="P10" s="151"/>
      <c r="Q10" s="284"/>
      <c r="R10" s="155"/>
      <c r="S10" s="169" t="str">
        <f>+SUPPORT!AB51</f>
        <v>Service Fee Revenue</v>
      </c>
      <c r="T10" s="452"/>
      <c r="U10" s="452"/>
      <c r="V10" s="452"/>
      <c r="W10" s="452"/>
      <c r="X10" s="452"/>
      <c r="Y10" s="452"/>
      <c r="Z10" s="452"/>
      <c r="AA10" s="452"/>
      <c r="AB10" s="452"/>
      <c r="AC10" s="453"/>
      <c r="AD10" s="175">
        <f t="shared" ref="AD10:AN10" si="6">IF(AD5="","",+AD54)</f>
        <v>12000</v>
      </c>
      <c r="AE10" s="175">
        <f t="shared" si="6"/>
        <v>133416</v>
      </c>
      <c r="AF10" s="175">
        <f t="shared" si="6"/>
        <v>372171.88799999998</v>
      </c>
      <c r="AG10" s="175">
        <f t="shared" si="6"/>
        <v>621812.70518399996</v>
      </c>
      <c r="AH10" s="175">
        <f t="shared" si="6"/>
        <v>960499.64095891209</v>
      </c>
      <c r="AI10" s="175">
        <f t="shared" si="6"/>
        <v>1411697.4559362815</v>
      </c>
      <c r="AJ10" s="175">
        <f t="shared" si="6"/>
        <v>2039205.4612637467</v>
      </c>
      <c r="AK10" s="175">
        <f t="shared" si="6"/>
        <v>2699044.2941476004</v>
      </c>
      <c r="AL10" s="175">
        <f t="shared" si="6"/>
        <v>3321317.4163491284</v>
      </c>
      <c r="AM10" s="175">
        <f t="shared" si="6"/>
        <v>3837730.4834992252</v>
      </c>
      <c r="AN10" s="176" t="str">
        <f t="shared" si="6"/>
        <v/>
      </c>
      <c r="AO10" s="154"/>
      <c r="AP10" s="154"/>
      <c r="AQ10" s="154"/>
      <c r="AR10" s="154"/>
      <c r="AS10" s="154"/>
      <c r="AT10" s="150"/>
    </row>
    <row r="11" spans="1:46" ht="13.5" thickBot="1" x14ac:dyDescent="0.25">
      <c r="A11" s="291"/>
      <c r="B11" s="559"/>
      <c r="C11" s="313" t="str">
        <f>I.InputData!C11</f>
        <v>Commercial</v>
      </c>
      <c r="D11" s="314" t="str">
        <f>I.InputData!D11</f>
        <v>-</v>
      </c>
      <c r="E11" s="314" t="str">
        <f>I.InputData!E11</f>
        <v>-</v>
      </c>
      <c r="F11" s="314" t="str">
        <f>I.InputData!F11</f>
        <v>-</v>
      </c>
      <c r="G11" s="315">
        <f>I.InputData!G11</f>
        <v>44927</v>
      </c>
      <c r="H11" s="316">
        <f>I.InputData!H11</f>
        <v>48549</v>
      </c>
      <c r="I11" s="291"/>
      <c r="J11" s="291"/>
      <c r="K11" s="291"/>
      <c r="L11" s="291"/>
      <c r="M11" s="291"/>
      <c r="N11" s="291"/>
      <c r="O11" s="291"/>
      <c r="P11" s="151"/>
      <c r="Q11" s="284"/>
      <c r="R11" s="155"/>
      <c r="S11" s="177" t="str">
        <f>+SUPPORT!R71</f>
        <v>Cost of Sales (COGS)</v>
      </c>
      <c r="T11" s="454"/>
      <c r="U11" s="454"/>
      <c r="V11" s="454"/>
      <c r="W11" s="454"/>
      <c r="X11" s="454"/>
      <c r="Y11" s="454"/>
      <c r="Z11" s="454"/>
      <c r="AA11" s="454"/>
      <c r="AB11" s="454"/>
      <c r="AC11" s="455"/>
      <c r="AD11" s="178">
        <f t="shared" ref="AD11:AN11" si="7">IF(AD5="","",+SUM(AD71:AD71))</f>
        <v>15000</v>
      </c>
      <c r="AE11" s="178">
        <f t="shared" si="7"/>
        <v>153000</v>
      </c>
      <c r="AF11" s="178">
        <f t="shared" si="7"/>
        <v>312120</v>
      </c>
      <c r="AG11" s="178">
        <f t="shared" si="7"/>
        <v>350198.63999999996</v>
      </c>
      <c r="AH11" s="178">
        <f t="shared" si="7"/>
        <v>487094.47200000001</v>
      </c>
      <c r="AI11" s="178">
        <f t="shared" si="7"/>
        <v>662448.48192000005</v>
      </c>
      <c r="AJ11" s="178">
        <f t="shared" si="7"/>
        <v>929083.99589280004</v>
      </c>
      <c r="AK11" s="178">
        <f t="shared" si="7"/>
        <v>1033817.1008843519</v>
      </c>
      <c r="AL11" s="178">
        <f t="shared" si="7"/>
        <v>1054493.442902039</v>
      </c>
      <c r="AM11" s="178">
        <f t="shared" si="7"/>
        <v>985951.3691134064</v>
      </c>
      <c r="AN11" s="179" t="str">
        <f t="shared" si="7"/>
        <v/>
      </c>
      <c r="AO11" s="154"/>
      <c r="AP11" s="154"/>
      <c r="AQ11" s="154"/>
      <c r="AR11" s="154"/>
      <c r="AS11" s="154"/>
      <c r="AT11" s="150"/>
    </row>
    <row r="12" spans="1:46" x14ac:dyDescent="0.2">
      <c r="A12" s="291"/>
      <c r="B12" s="291"/>
      <c r="C12" s="317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152"/>
      <c r="Q12" s="284"/>
      <c r="R12" s="155"/>
      <c r="S12" s="28" t="s">
        <v>131</v>
      </c>
      <c r="T12" s="452"/>
      <c r="U12" s="452"/>
      <c r="V12" s="452"/>
      <c r="W12" s="452"/>
      <c r="X12" s="452"/>
      <c r="Y12" s="452"/>
      <c r="Z12" s="452"/>
      <c r="AA12" s="452"/>
      <c r="AB12" s="452"/>
      <c r="AC12" s="453"/>
      <c r="AD12" s="175">
        <f>IF(AD5="","",+AD72)</f>
        <v>50000</v>
      </c>
      <c r="AE12" s="175">
        <f t="shared" ref="AE12:AN12" si="8">IF(AE5="","",+AE72)</f>
        <v>50000</v>
      </c>
      <c r="AF12" s="175">
        <f t="shared" si="8"/>
        <v>50000</v>
      </c>
      <c r="AG12" s="175">
        <f t="shared" si="8"/>
        <v>60000</v>
      </c>
      <c r="AH12" s="175">
        <f t="shared" si="8"/>
        <v>60000</v>
      </c>
      <c r="AI12" s="175">
        <f t="shared" si="8"/>
        <v>60000</v>
      </c>
      <c r="AJ12" s="175">
        <f t="shared" si="8"/>
        <v>60000</v>
      </c>
      <c r="AK12" s="175">
        <f t="shared" si="8"/>
        <v>60000</v>
      </c>
      <c r="AL12" s="175">
        <f t="shared" si="8"/>
        <v>60000</v>
      </c>
      <c r="AM12" s="175">
        <f t="shared" si="8"/>
        <v>60000</v>
      </c>
      <c r="AN12" s="176" t="str">
        <f t="shared" si="8"/>
        <v/>
      </c>
      <c r="AO12" s="154"/>
      <c r="AP12" s="154"/>
      <c r="AQ12" s="154"/>
      <c r="AR12" s="154"/>
      <c r="AS12" s="154"/>
      <c r="AT12" s="150"/>
    </row>
    <row r="13" spans="1:46" x14ac:dyDescent="0.2">
      <c r="A13" s="291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151"/>
      <c r="Q13" s="284"/>
      <c r="R13" s="155"/>
      <c r="S13" s="28" t="s">
        <v>129</v>
      </c>
      <c r="T13" s="452"/>
      <c r="U13" s="452"/>
      <c r="V13" s="452"/>
      <c r="W13" s="452"/>
      <c r="X13" s="452"/>
      <c r="Y13" s="452"/>
      <c r="Z13" s="452"/>
      <c r="AA13" s="452"/>
      <c r="AB13" s="452"/>
      <c r="AC13" s="453"/>
      <c r="AD13" s="175">
        <f t="shared" ref="AD13:AN13" si="9">IF(AD5="","",+AD73)</f>
        <v>35000</v>
      </c>
      <c r="AE13" s="175">
        <f t="shared" si="9"/>
        <v>35000</v>
      </c>
      <c r="AF13" s="175">
        <f t="shared" si="9"/>
        <v>35000</v>
      </c>
      <c r="AG13" s="175">
        <f t="shared" si="9"/>
        <v>35000</v>
      </c>
      <c r="AH13" s="175">
        <f t="shared" si="9"/>
        <v>35000</v>
      </c>
      <c r="AI13" s="175">
        <f t="shared" si="9"/>
        <v>35000</v>
      </c>
      <c r="AJ13" s="175">
        <f t="shared" si="9"/>
        <v>35000</v>
      </c>
      <c r="AK13" s="175">
        <f t="shared" si="9"/>
        <v>35000</v>
      </c>
      <c r="AL13" s="175">
        <f t="shared" si="9"/>
        <v>35000</v>
      </c>
      <c r="AM13" s="175">
        <f t="shared" si="9"/>
        <v>35000</v>
      </c>
      <c r="AN13" s="180" t="str">
        <f t="shared" si="9"/>
        <v/>
      </c>
      <c r="AO13" s="154"/>
      <c r="AP13" s="154"/>
      <c r="AQ13" s="154"/>
      <c r="AR13" s="154"/>
      <c r="AS13" s="154"/>
      <c r="AT13" s="150"/>
    </row>
    <row r="14" spans="1:46" ht="15.75" thickBot="1" x14ac:dyDescent="0.3">
      <c r="A14" s="291"/>
      <c r="B14" s="291"/>
      <c r="C14" s="318" t="str">
        <f>I.InputData!C14</f>
        <v>Table 2. Pricing and Cost of Sales</v>
      </c>
      <c r="D14" s="291"/>
      <c r="E14" s="291"/>
      <c r="F14" s="291"/>
      <c r="G14" s="291"/>
      <c r="H14" s="291"/>
      <c r="I14" s="291"/>
      <c r="J14" s="291"/>
      <c r="K14" s="291"/>
      <c r="L14" s="319"/>
      <c r="M14" s="291"/>
      <c r="N14" s="291"/>
      <c r="O14" s="291"/>
      <c r="P14" s="151"/>
      <c r="Q14" s="284"/>
      <c r="R14" s="155"/>
      <c r="S14" s="28" t="s">
        <v>130</v>
      </c>
      <c r="T14" s="452"/>
      <c r="U14" s="452"/>
      <c r="V14" s="452"/>
      <c r="W14" s="452"/>
      <c r="X14" s="452"/>
      <c r="Y14" s="452"/>
      <c r="Z14" s="452"/>
      <c r="AA14" s="452"/>
      <c r="AB14" s="452"/>
      <c r="AC14" s="453"/>
      <c r="AD14" s="175">
        <f t="shared" ref="AD14:AN14" si="10">IF(AD5="","",+AD74)</f>
        <v>25000</v>
      </c>
      <c r="AE14" s="175">
        <f t="shared" si="10"/>
        <v>25000</v>
      </c>
      <c r="AF14" s="175">
        <f t="shared" si="10"/>
        <v>25000</v>
      </c>
      <c r="AG14" s="175">
        <f t="shared" si="10"/>
        <v>30000</v>
      </c>
      <c r="AH14" s="175">
        <f t="shared" si="10"/>
        <v>30000</v>
      </c>
      <c r="AI14" s="175">
        <f t="shared" si="10"/>
        <v>30000</v>
      </c>
      <c r="AJ14" s="175">
        <f t="shared" si="10"/>
        <v>30000</v>
      </c>
      <c r="AK14" s="175">
        <f t="shared" si="10"/>
        <v>30000</v>
      </c>
      <c r="AL14" s="175">
        <f t="shared" si="10"/>
        <v>30000</v>
      </c>
      <c r="AM14" s="175">
        <f t="shared" si="10"/>
        <v>30000</v>
      </c>
      <c r="AN14" s="176" t="str">
        <f t="shared" si="10"/>
        <v/>
      </c>
      <c r="AO14" s="154"/>
      <c r="AP14" s="154"/>
      <c r="AQ14" s="154"/>
      <c r="AR14" s="154"/>
      <c r="AS14" s="154"/>
      <c r="AT14" s="150"/>
    </row>
    <row r="15" spans="1:46" x14ac:dyDescent="0.2">
      <c r="A15" s="291"/>
      <c r="B15" s="320"/>
      <c r="C15" s="568" t="str">
        <f>I.InputData!C15</f>
        <v>Customer Segments</v>
      </c>
      <c r="D15" s="570" t="str">
        <f>I.InputData!D15</f>
        <v>Unit price</v>
      </c>
      <c r="E15" s="570" t="str">
        <f>I.InputData!E15</f>
        <v>Installation charge per unit</v>
      </c>
      <c r="F15" s="570" t="str">
        <f>I.InputData!F15</f>
        <v>Service fee per unit per year</v>
      </c>
      <c r="G15" s="572" t="str">
        <f>I.InputData!G15</f>
        <v xml:space="preserve">Cost of Sales  per unit </v>
      </c>
      <c r="H15" s="291"/>
      <c r="I15" s="291"/>
      <c r="J15" s="291"/>
      <c r="K15" s="291"/>
      <c r="L15" s="291"/>
      <c r="M15" s="291"/>
      <c r="N15" s="291"/>
      <c r="O15" s="291"/>
      <c r="P15" s="151"/>
      <c r="Q15" s="284"/>
      <c r="R15" s="155"/>
      <c r="S15" s="181" t="s">
        <v>60</v>
      </c>
      <c r="T15" s="452"/>
      <c r="U15" s="452"/>
      <c r="V15" s="452"/>
      <c r="W15" s="452"/>
      <c r="X15" s="452"/>
      <c r="Y15" s="452"/>
      <c r="Z15" s="452"/>
      <c r="AA15" s="452"/>
      <c r="AB15" s="452"/>
      <c r="AC15" s="453"/>
      <c r="AD15" s="175">
        <f>IF(AD5="","",+AD75+AD76+AD77)</f>
        <v>0</v>
      </c>
      <c r="AE15" s="175">
        <f t="shared" ref="AE15:AN15" si="11">IF(AE5="","",+AE75+AE76+AE77)</f>
        <v>0</v>
      </c>
      <c r="AF15" s="175">
        <f t="shared" si="11"/>
        <v>0</v>
      </c>
      <c r="AG15" s="175">
        <f t="shared" si="11"/>
        <v>0</v>
      </c>
      <c r="AH15" s="175">
        <f t="shared" si="11"/>
        <v>0</v>
      </c>
      <c r="AI15" s="175">
        <f t="shared" si="11"/>
        <v>0</v>
      </c>
      <c r="AJ15" s="175">
        <f t="shared" si="11"/>
        <v>0</v>
      </c>
      <c r="AK15" s="175">
        <f t="shared" si="11"/>
        <v>0</v>
      </c>
      <c r="AL15" s="175">
        <f t="shared" si="11"/>
        <v>0</v>
      </c>
      <c r="AM15" s="175">
        <f t="shared" si="11"/>
        <v>0</v>
      </c>
      <c r="AN15" s="176" t="str">
        <f t="shared" si="11"/>
        <v/>
      </c>
      <c r="AO15" s="154"/>
      <c r="AP15" s="154"/>
      <c r="AQ15" s="154"/>
      <c r="AR15" s="154"/>
      <c r="AS15" s="154"/>
      <c r="AT15" s="150"/>
    </row>
    <row r="16" spans="1:46" ht="19.5" customHeight="1" thickBot="1" x14ac:dyDescent="0.25">
      <c r="A16" s="291"/>
      <c r="B16" s="321"/>
      <c r="C16" s="569"/>
      <c r="D16" s="571"/>
      <c r="E16" s="571"/>
      <c r="F16" s="571"/>
      <c r="G16" s="573"/>
      <c r="H16" s="291"/>
      <c r="I16" s="291"/>
      <c r="J16" s="291"/>
      <c r="K16" s="291"/>
      <c r="L16" s="291"/>
      <c r="M16" s="291"/>
      <c r="N16" s="291"/>
      <c r="O16" s="291"/>
      <c r="P16" s="151"/>
      <c r="Q16" s="284"/>
      <c r="R16" s="155"/>
      <c r="S16" s="182" t="s">
        <v>111</v>
      </c>
      <c r="T16" s="183" t="str">
        <f t="shared" ref="T16:AC16" si="12">IF((T5=""),"",+T63+T64+T65+T66)</f>
        <v/>
      </c>
      <c r="U16" s="184" t="str">
        <f t="shared" si="12"/>
        <v/>
      </c>
      <c r="V16" s="184" t="str">
        <f t="shared" si="12"/>
        <v/>
      </c>
      <c r="W16" s="184" t="str">
        <f t="shared" si="12"/>
        <v/>
      </c>
      <c r="X16" s="184" t="str">
        <f t="shared" si="12"/>
        <v/>
      </c>
      <c r="Y16" s="184" t="str">
        <f t="shared" si="12"/>
        <v/>
      </c>
      <c r="Z16" s="184" t="str">
        <f t="shared" si="12"/>
        <v/>
      </c>
      <c r="AA16" s="184">
        <f t="shared" si="12"/>
        <v>1355813.9534883723</v>
      </c>
      <c r="AB16" s="184">
        <f t="shared" si="12"/>
        <v>944186.04651162785</v>
      </c>
      <c r="AC16" s="185">
        <f t="shared" si="12"/>
        <v>600000</v>
      </c>
      <c r="AD16" s="184">
        <f>IF(AD5="","",+AD63+AD64+AD65+AD66)</f>
        <v>0</v>
      </c>
      <c r="AE16" s="184">
        <f t="shared" ref="AE16:AN16" si="13">IF(AE5="","",+AE63+AE64+AE65+AE66)</f>
        <v>0</v>
      </c>
      <c r="AF16" s="184">
        <f t="shared" si="13"/>
        <v>0</v>
      </c>
      <c r="AG16" s="184">
        <f t="shared" si="13"/>
        <v>0</v>
      </c>
      <c r="AH16" s="184">
        <f t="shared" si="13"/>
        <v>0</v>
      </c>
      <c r="AI16" s="184">
        <f t="shared" si="13"/>
        <v>0</v>
      </c>
      <c r="AJ16" s="184">
        <f t="shared" si="13"/>
        <v>0</v>
      </c>
      <c r="AK16" s="184">
        <f t="shared" si="13"/>
        <v>0</v>
      </c>
      <c r="AL16" s="184">
        <f t="shared" si="13"/>
        <v>0</v>
      </c>
      <c r="AM16" s="184">
        <f t="shared" si="13"/>
        <v>0</v>
      </c>
      <c r="AN16" s="186" t="str">
        <f t="shared" si="13"/>
        <v/>
      </c>
      <c r="AO16" s="154"/>
      <c r="AP16" s="154"/>
      <c r="AQ16" s="154"/>
      <c r="AR16" s="154"/>
      <c r="AS16" s="154"/>
      <c r="AT16" s="150"/>
    </row>
    <row r="17" spans="1:46" ht="15.75" customHeight="1" x14ac:dyDescent="0.2">
      <c r="A17" s="291"/>
      <c r="B17" s="557" t="str">
        <f>I.InputData!B17</f>
        <v>Revenue Stream</v>
      </c>
      <c r="C17" s="322" t="str">
        <f>I.InputData!C17</f>
        <v>Customer Segment 1 (CS1)</v>
      </c>
      <c r="D17" s="323">
        <f>I.InputData!D17</f>
        <v>1800</v>
      </c>
      <c r="E17" s="323">
        <f>I.InputData!E17</f>
        <v>150</v>
      </c>
      <c r="F17" s="323">
        <f>I.InputData!F17</f>
        <v>1200</v>
      </c>
      <c r="G17" s="324">
        <f>I.InputData!G17</f>
        <v>1500</v>
      </c>
      <c r="H17" s="291"/>
      <c r="I17" s="291"/>
      <c r="J17" s="291"/>
      <c r="K17" s="291"/>
      <c r="L17" s="291"/>
      <c r="M17" s="291"/>
      <c r="N17" s="291"/>
      <c r="O17" s="291"/>
      <c r="P17" s="151"/>
      <c r="Q17" s="284"/>
      <c r="R17" s="155"/>
      <c r="S17" s="187" t="s">
        <v>113</v>
      </c>
      <c r="T17" s="188" t="str">
        <f t="shared" ref="T17:AC17" si="14">IF((T5=""),"",-(T67+T68+T69+T70))</f>
        <v/>
      </c>
      <c r="U17" s="189" t="str">
        <f t="shared" si="14"/>
        <v/>
      </c>
      <c r="V17" s="189" t="str">
        <f t="shared" si="14"/>
        <v/>
      </c>
      <c r="W17" s="189" t="str">
        <f t="shared" si="14"/>
        <v/>
      </c>
      <c r="X17" s="189" t="str">
        <f t="shared" si="14"/>
        <v/>
      </c>
      <c r="Y17" s="189" t="str">
        <f t="shared" si="14"/>
        <v/>
      </c>
      <c r="Z17" s="189" t="str">
        <f t="shared" si="14"/>
        <v/>
      </c>
      <c r="AA17" s="189">
        <f t="shared" si="14"/>
        <v>-891860.46511627908</v>
      </c>
      <c r="AB17" s="189">
        <f t="shared" si="14"/>
        <v>-508139.53488372092</v>
      </c>
      <c r="AC17" s="190">
        <f t="shared" si="14"/>
        <v>-300000</v>
      </c>
      <c r="AD17" s="189">
        <f t="shared" ref="AD17:AN17" si="15">IF(AD5="","",-(AD67+AD68+AD69+AD70))</f>
        <v>0</v>
      </c>
      <c r="AE17" s="189">
        <f t="shared" si="15"/>
        <v>0</v>
      </c>
      <c r="AF17" s="189">
        <f t="shared" si="15"/>
        <v>0</v>
      </c>
      <c r="AG17" s="189">
        <f t="shared" si="15"/>
        <v>0</v>
      </c>
      <c r="AH17" s="189">
        <f t="shared" si="15"/>
        <v>0</v>
      </c>
      <c r="AI17" s="189">
        <f t="shared" si="15"/>
        <v>0</v>
      </c>
      <c r="AJ17" s="189">
        <f t="shared" si="15"/>
        <v>0</v>
      </c>
      <c r="AK17" s="189">
        <f t="shared" si="15"/>
        <v>0</v>
      </c>
      <c r="AL17" s="189">
        <f t="shared" si="15"/>
        <v>0</v>
      </c>
      <c r="AM17" s="189">
        <f t="shared" si="15"/>
        <v>0</v>
      </c>
      <c r="AN17" s="191" t="str">
        <f t="shared" si="15"/>
        <v/>
      </c>
      <c r="AO17" s="154"/>
      <c r="AP17" s="154"/>
      <c r="AQ17" s="154"/>
      <c r="AR17" s="154"/>
      <c r="AS17" s="154"/>
      <c r="AT17" s="150"/>
    </row>
    <row r="18" spans="1:46" x14ac:dyDescent="0.2">
      <c r="A18" s="291"/>
      <c r="B18" s="558"/>
      <c r="C18" s="325" t="str">
        <f>I.InputData!C18</f>
        <v>Customer Segment 2 (CS2)</v>
      </c>
      <c r="D18" s="326">
        <f>I.InputData!D18</f>
        <v>0</v>
      </c>
      <c r="E18" s="326">
        <f>I.InputData!E18</f>
        <v>0</v>
      </c>
      <c r="F18" s="326">
        <f>I.InputData!F18</f>
        <v>0</v>
      </c>
      <c r="G18" s="327">
        <f>I.InputData!G18</f>
        <v>0</v>
      </c>
      <c r="H18" s="291"/>
      <c r="I18" s="291"/>
      <c r="J18" s="291"/>
      <c r="K18" s="291"/>
      <c r="L18" s="291"/>
      <c r="M18" s="291"/>
      <c r="N18" s="291"/>
      <c r="O18" s="291"/>
      <c r="P18" s="151"/>
      <c r="Q18" s="284"/>
      <c r="R18" s="155"/>
      <c r="S18" s="177" t="s">
        <v>121</v>
      </c>
      <c r="T18" s="192"/>
      <c r="U18" s="192"/>
      <c r="V18" s="192"/>
      <c r="W18" s="192"/>
      <c r="X18" s="192"/>
      <c r="Y18" s="192"/>
      <c r="Z18" s="192"/>
      <c r="AA18" s="192"/>
      <c r="AB18" s="192"/>
      <c r="AC18" s="193"/>
      <c r="AD18" s="194">
        <f t="shared" ref="AD18:AN18" si="16">IF(AD5="","",+AD140)</f>
        <v>714.28571428571433</v>
      </c>
      <c r="AE18" s="194">
        <f t="shared" si="16"/>
        <v>4714.2857142857147</v>
      </c>
      <c r="AF18" s="194">
        <f t="shared" si="16"/>
        <v>4714.2857142857147</v>
      </c>
      <c r="AG18" s="194">
        <f t="shared" si="16"/>
        <v>4714.2857142857147</v>
      </c>
      <c r="AH18" s="194">
        <f t="shared" si="16"/>
        <v>4714.2857142857147</v>
      </c>
      <c r="AI18" s="194">
        <f t="shared" si="16"/>
        <v>4714.2857142857147</v>
      </c>
      <c r="AJ18" s="194">
        <f t="shared" si="16"/>
        <v>714.28571428571433</v>
      </c>
      <c r="AK18" s="194">
        <f t="shared" si="16"/>
        <v>0</v>
      </c>
      <c r="AL18" s="194">
        <f t="shared" si="16"/>
        <v>0</v>
      </c>
      <c r="AM18" s="194">
        <f t="shared" si="16"/>
        <v>0</v>
      </c>
      <c r="AN18" s="195" t="str">
        <f t="shared" si="16"/>
        <v/>
      </c>
      <c r="AO18" s="154"/>
      <c r="AP18" s="154"/>
      <c r="AQ18" s="154"/>
      <c r="AR18" s="154"/>
      <c r="AS18" s="154"/>
      <c r="AT18" s="150"/>
    </row>
    <row r="19" spans="1:46" ht="13.5" thickBot="1" x14ac:dyDescent="0.25">
      <c r="A19" s="291"/>
      <c r="B19" s="559"/>
      <c r="C19" s="325" t="str">
        <f>I.InputData!C19</f>
        <v>Customer Segment 3 (CS3)</v>
      </c>
      <c r="D19" s="328">
        <f>I.InputData!D19</f>
        <v>0</v>
      </c>
      <c r="E19" s="328">
        <f>I.InputData!E19</f>
        <v>0</v>
      </c>
      <c r="F19" s="328">
        <f>I.InputData!F19</f>
        <v>0</v>
      </c>
      <c r="G19" s="329">
        <f>I.InputData!G19</f>
        <v>0</v>
      </c>
      <c r="H19" s="291"/>
      <c r="I19" s="291"/>
      <c r="J19" s="291"/>
      <c r="K19" s="291"/>
      <c r="L19" s="291"/>
      <c r="M19" s="291"/>
      <c r="N19" s="291"/>
      <c r="O19" s="291"/>
      <c r="P19" s="151"/>
      <c r="Q19" s="284"/>
      <c r="R19" s="155"/>
      <c r="S19" s="177" t="s">
        <v>30</v>
      </c>
      <c r="T19" s="196"/>
      <c r="U19" s="192"/>
      <c r="V19" s="192"/>
      <c r="W19" s="192"/>
      <c r="X19" s="192"/>
      <c r="Y19" s="192"/>
      <c r="Z19" s="192"/>
      <c r="AA19" s="192"/>
      <c r="AB19" s="192"/>
      <c r="AC19" s="193"/>
      <c r="AD19" s="194">
        <f t="shared" ref="AD19:AN19" si="17">IF(AD5="","",-(AD80+AD83))</f>
        <v>-5000</v>
      </c>
      <c r="AE19" s="194">
        <f t="shared" si="17"/>
        <v>-20000</v>
      </c>
      <c r="AF19" s="194">
        <f t="shared" si="17"/>
        <v>0</v>
      </c>
      <c r="AG19" s="194">
        <f t="shared" si="17"/>
        <v>0</v>
      </c>
      <c r="AH19" s="194">
        <f t="shared" si="17"/>
        <v>0</v>
      </c>
      <c r="AI19" s="194">
        <f t="shared" si="17"/>
        <v>0</v>
      </c>
      <c r="AJ19" s="194">
        <f t="shared" si="17"/>
        <v>0</v>
      </c>
      <c r="AK19" s="194">
        <f t="shared" si="17"/>
        <v>0</v>
      </c>
      <c r="AL19" s="194">
        <f t="shared" si="17"/>
        <v>0</v>
      </c>
      <c r="AM19" s="194">
        <f t="shared" si="17"/>
        <v>0</v>
      </c>
      <c r="AN19" s="195" t="str">
        <f t="shared" si="17"/>
        <v/>
      </c>
      <c r="AO19" s="154"/>
      <c r="AP19" s="154"/>
      <c r="AQ19" s="154"/>
      <c r="AR19" s="154"/>
      <c r="AS19" s="154"/>
      <c r="AT19" s="150"/>
    </row>
    <row r="20" spans="1:46" x14ac:dyDescent="0.2">
      <c r="A20" s="291"/>
      <c r="B20" s="330"/>
      <c r="C20" s="331" t="str">
        <f>I.InputData!C20</f>
        <v>Annual increase (%)</v>
      </c>
      <c r="D20" s="332">
        <f>I.InputData!D20</f>
        <v>0.02</v>
      </c>
      <c r="E20" s="332">
        <f>I.InputData!E20</f>
        <v>0.02</v>
      </c>
      <c r="F20" s="332">
        <f>I.InputData!F20</f>
        <v>0.02</v>
      </c>
      <c r="G20" s="333">
        <f>I.InputData!G20</f>
        <v>0.02</v>
      </c>
      <c r="H20" s="291"/>
      <c r="I20" s="291"/>
      <c r="J20" s="291"/>
      <c r="K20" s="291"/>
      <c r="L20" s="291"/>
      <c r="M20" s="291"/>
      <c r="N20" s="291"/>
      <c r="O20" s="291"/>
      <c r="P20" s="151"/>
      <c r="Q20" s="284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7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0"/>
    </row>
    <row r="21" spans="1:46" ht="15.75" thickBot="1" x14ac:dyDescent="0.3">
      <c r="A21" s="291"/>
      <c r="B21" s="320"/>
      <c r="C21" s="331" t="str">
        <f>I.InputData!C21</f>
        <v>Churn Rate (%)</v>
      </c>
      <c r="D21" s="334"/>
      <c r="E21" s="335"/>
      <c r="F21" s="336">
        <f>I.InputData!F21</f>
        <v>0.1</v>
      </c>
      <c r="G21" s="337"/>
      <c r="H21" s="291"/>
      <c r="I21" s="319"/>
      <c r="J21" s="291"/>
      <c r="K21" s="291"/>
      <c r="L21" s="291"/>
      <c r="M21" s="291"/>
      <c r="N21" s="291"/>
      <c r="O21" s="291"/>
      <c r="P21" s="151"/>
      <c r="Q21" s="284"/>
      <c r="R21" s="155"/>
      <c r="S21" s="285" t="s">
        <v>152</v>
      </c>
      <c r="T21" s="155"/>
      <c r="U21" s="155"/>
      <c r="V21" s="155"/>
      <c r="W21" s="155"/>
      <c r="X21" s="155"/>
      <c r="Y21" s="155"/>
      <c r="Z21" s="155"/>
      <c r="AA21" s="155"/>
      <c r="AB21" s="155"/>
      <c r="AC21" s="157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0"/>
    </row>
    <row r="22" spans="1:46" ht="22.5" x14ac:dyDescent="0.2">
      <c r="A22" s="291"/>
      <c r="B22" s="320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151"/>
      <c r="Q22" s="284"/>
      <c r="R22" s="155"/>
      <c r="S22" s="283" t="s">
        <v>143</v>
      </c>
      <c r="T22" s="283" t="s">
        <v>145</v>
      </c>
      <c r="U22" s="283" t="s">
        <v>144</v>
      </c>
      <c r="V22" s="283" t="s">
        <v>147</v>
      </c>
      <c r="W22" s="283" t="s">
        <v>146</v>
      </c>
      <c r="X22" s="283" t="s">
        <v>148</v>
      </c>
      <c r="Y22" s="283" t="s">
        <v>139</v>
      </c>
      <c r="Z22" s="283" t="s">
        <v>149</v>
      </c>
      <c r="AA22" s="155"/>
      <c r="AB22" s="155"/>
      <c r="AC22" s="157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0"/>
    </row>
    <row r="23" spans="1:46" x14ac:dyDescent="0.2">
      <c r="A23" s="291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151"/>
      <c r="Q23" s="284"/>
      <c r="R23" s="463" t="s">
        <v>46</v>
      </c>
      <c r="S23" s="462">
        <f t="shared" ref="S23:S24" si="18">IF(G7&lt;$G$11,-DATEDIF(G7,$G$11,"Y")-1,DATEDIF($G$11,G7,"Y"))</f>
        <v>-3</v>
      </c>
      <c r="T23" s="194">
        <f>+(H7-G7)/365</f>
        <v>8.4931506849315067E-2</v>
      </c>
      <c r="U23" s="194">
        <f>IF(H7&lt;$G$11,-DATEDIF(H7,$G$11,"Y")-1,DATEDIF($G$11,H7,"Y"))</f>
        <v>-3</v>
      </c>
      <c r="V23" s="194">
        <f>IF(DAY($G$11)/31+MONTH($G$11)&gt;=DAY(G7)/31+MONTH(G7),DATE(YEAR(G7),MONTH($G$11),DAY($G$11))-G7,DATE(YEAR(G7)+1,MONTH($G$11),DAY($G$11))-G7)</f>
        <v>245</v>
      </c>
      <c r="W23" s="194">
        <f>H7-G7</f>
        <v>31</v>
      </c>
      <c r="X23" s="194">
        <f>IF(DAY($G$11)/31+MONTH($G$11)&gt;DAY(H7)/31+MONTH(H7),H7-DATE(YEAR(H7)-1,MONTH($G$11),DAY($G$11)),H7-DATE(YEAR(H7),MONTH($G$11),DAY($G$11)))</f>
        <v>152</v>
      </c>
      <c r="Y23" s="194">
        <f>IF(D7="YES",1,0)</f>
        <v>1</v>
      </c>
      <c r="Z23" s="195" t="b">
        <f>AND(Y23=1,F7&gt;0)</f>
        <v>1</v>
      </c>
      <c r="AA23" s="286" t="s">
        <v>72</v>
      </c>
      <c r="AB23" s="155"/>
      <c r="AC23" s="157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0"/>
    </row>
    <row r="24" spans="1:46" ht="15.75" thickBot="1" x14ac:dyDescent="0.3">
      <c r="A24" s="291"/>
      <c r="B24" s="291"/>
      <c r="C24" s="318" t="str">
        <f>I.InputData!C24</f>
        <v>Table 3. Served Obtainable Market</v>
      </c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151"/>
      <c r="Q24" s="284"/>
      <c r="R24" s="463" t="s">
        <v>47</v>
      </c>
      <c r="S24" s="188">
        <f t="shared" si="18"/>
        <v>-3</v>
      </c>
      <c r="T24" s="189">
        <f>+(H8-G8)/365</f>
        <v>0.58904109589041098</v>
      </c>
      <c r="U24" s="189">
        <f>IF(H8&lt;$G$11,-DATEDIF(H8,$G$11,"Y")-1,DATEDIF($G$11,H8,"Y"))</f>
        <v>-2</v>
      </c>
      <c r="V24" s="189">
        <f>IF(DAY($G$11)/31+MONTH($G$11)&gt;=DAY(G8)/31+MONTH(G8),DATE(YEAR(G8),MONTH($G$11),DAY($G$11))-G8,DATE(YEAR(G8)+1,MONTH($G$11),DAY($G$11))-G8)</f>
        <v>184</v>
      </c>
      <c r="W24" s="189">
        <f>H8-G8</f>
        <v>215</v>
      </c>
      <c r="X24" s="189">
        <f>IF(DAY($G$11)/31+MONTH($G$11)&gt;DAY(H8)/31+MONTH(H8),H8-DATE(YEAR(H8)-1,MONTH($G$11),DAY($G$11)),H8-DATE(YEAR(H8),MONTH($G$11),DAY($G$11)))</f>
        <v>31</v>
      </c>
      <c r="Y24" s="189">
        <f>IF(D8="YES",1,0)</f>
        <v>1</v>
      </c>
      <c r="Z24" s="195" t="b">
        <f t="shared" ref="Z24:Z25" si="19">AND(Y24=1,F8&gt;0)</f>
        <v>1</v>
      </c>
      <c r="AA24" s="286" t="s">
        <v>165</v>
      </c>
      <c r="AB24" s="155"/>
      <c r="AC24" s="157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0"/>
    </row>
    <row r="25" spans="1:46" ht="12.75" customHeight="1" x14ac:dyDescent="0.2">
      <c r="A25" s="291"/>
      <c r="B25" s="557" t="str">
        <f>I.InputData!B25</f>
        <v>Sales Volume</v>
      </c>
      <c r="C25" s="560" t="str">
        <f>I.InputData!C25</f>
        <v>Number of units sold per year</v>
      </c>
      <c r="D25" s="561"/>
      <c r="E25" s="338">
        <f>I.InputData!E25</f>
        <v>44927</v>
      </c>
      <c r="F25" s="339" t="str">
        <f>I.InputData!F25</f>
        <v>Commercial Phase</v>
      </c>
      <c r="G25" s="340"/>
      <c r="H25" s="340"/>
      <c r="I25" s="340"/>
      <c r="J25" s="340"/>
      <c r="K25" s="340"/>
      <c r="L25" s="340"/>
      <c r="M25" s="340"/>
      <c r="N25" s="340"/>
      <c r="O25" s="341"/>
      <c r="P25" s="151"/>
      <c r="Q25" s="284"/>
      <c r="R25" s="463" t="s">
        <v>24</v>
      </c>
      <c r="S25" s="188">
        <f>IF(G9&lt;$G$11,-DATEDIF(G9,$G$11,"Y")-1,DATEDIF($G$11,G9,"Y"))</f>
        <v>-2</v>
      </c>
      <c r="T25" s="189">
        <f>+(H9-G9)/365</f>
        <v>0.75342465753424659</v>
      </c>
      <c r="U25" s="189">
        <f>IF(H9&lt;$G$11,-DATEDIF(H9,$G$11,"Y")-1,DATEDIF($G$11,H9,"Y"))</f>
        <v>-2</v>
      </c>
      <c r="V25" s="189">
        <f>IF(DAY($G$11)/31+MONTH($G$11)&gt;=DAY(G9)/31+MONTH(G9),DATE(YEAR(G9),MONTH($G$11),DAY($G$11))-G9,DATE(YEAR(G9)+1,MONTH($G$11),DAY($G$11))-G9)</f>
        <v>306</v>
      </c>
      <c r="W25" s="189">
        <f>H9-G9</f>
        <v>275</v>
      </c>
      <c r="X25" s="189">
        <f>IF(DAY($G$11)/31+MONTH($G$11)&gt;DAY(H9)/31+MONTH(H9),H9-DATE(YEAR(H9)-1,MONTH($G$11),DAY($G$11)),H9-DATE(YEAR(H9),MONTH($G$11),DAY($G$11)))</f>
        <v>334</v>
      </c>
      <c r="Y25" s="189">
        <f>IF(D9="YES",1,0)</f>
        <v>1</v>
      </c>
      <c r="Z25" s="195" t="b">
        <f t="shared" si="19"/>
        <v>1</v>
      </c>
      <c r="AA25" s="155"/>
      <c r="AB25" s="155"/>
      <c r="AC25" s="157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0"/>
    </row>
    <row r="26" spans="1:46" ht="13.5" thickBot="1" x14ac:dyDescent="0.25">
      <c r="A26" s="291"/>
      <c r="B26" s="558"/>
      <c r="C26" s="562"/>
      <c r="D26" s="563"/>
      <c r="E26" s="342">
        <f>I.InputData!E26</f>
        <v>0</v>
      </c>
      <c r="F26" s="342">
        <f>I.InputData!F26</f>
        <v>1</v>
      </c>
      <c r="G26" s="342">
        <f>I.InputData!G26</f>
        <v>2</v>
      </c>
      <c r="H26" s="342">
        <f>I.InputData!H26</f>
        <v>3</v>
      </c>
      <c r="I26" s="342">
        <f>I.InputData!I26</f>
        <v>4</v>
      </c>
      <c r="J26" s="342">
        <f>I.InputData!J26</f>
        <v>5</v>
      </c>
      <c r="K26" s="342">
        <f>I.InputData!K26</f>
        <v>6</v>
      </c>
      <c r="L26" s="342">
        <f>I.InputData!L26</f>
        <v>7</v>
      </c>
      <c r="M26" s="342">
        <f>I.InputData!M26</f>
        <v>8</v>
      </c>
      <c r="N26" s="342">
        <f>I.InputData!N26</f>
        <v>9</v>
      </c>
      <c r="O26" s="343">
        <f>I.InputData!O26</f>
        <v>10</v>
      </c>
      <c r="P26" s="151"/>
      <c r="Q26" s="284"/>
      <c r="R26" s="463" t="s">
        <v>48</v>
      </c>
      <c r="S26" s="188">
        <f t="shared" ref="S26:S27" si="20">IF(G10&lt;$G$11,-DATEDIF(G10,$G$11,"Y")-1,DATEDIF($G$11,G10,"Y"))</f>
        <v>-2</v>
      </c>
      <c r="T26" s="189">
        <f>+(H10-G10)/365</f>
        <v>0.91506849315068495</v>
      </c>
      <c r="U26" s="189">
        <f>IF(H10&lt;$G$11,-DATEDIF(H10,$G$11,"Y")-1,DATEDIF($G$11,H10,"Y"))</f>
        <v>-1</v>
      </c>
      <c r="V26" s="189">
        <f>IF(DAY($G$11)/31+MONTH($G$11)&gt;=DAY(G10)/31+MONTH(G10),DATE(YEAR(G10),MONTH($G$11),DAY($G$11))-G10,DATE(YEAR(G10)+1,MONTH($G$11),DAY($G$11))-G10)</f>
        <v>0</v>
      </c>
      <c r="W26" s="189">
        <f>H10-G10</f>
        <v>334</v>
      </c>
      <c r="X26" s="189">
        <f>IF(DAY($G$11)/31+MONTH($G$11)&gt;DAY(H10)/31+MONTH(H10),H10-DATE(YEAR(H10)-1,MONTH($G$11),DAY($G$11)),H10-DATE(YEAR(H10),MONTH($G$11),DAY($G$11)))</f>
        <v>334</v>
      </c>
      <c r="Y26" s="189">
        <f>IF(D10="YES",1,0)</f>
        <v>1</v>
      </c>
      <c r="Z26" s="195" t="b">
        <f>AND(Y26=1,F10&gt;0)</f>
        <v>1</v>
      </c>
      <c r="AA26" s="155"/>
      <c r="AB26" s="155"/>
      <c r="AC26" s="157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0"/>
    </row>
    <row r="27" spans="1:46" x14ac:dyDescent="0.2">
      <c r="A27" s="291"/>
      <c r="B27" s="558"/>
      <c r="C27" s="564" t="str">
        <f>I.InputData!C27</f>
        <v>Customer Segment 1 (CS1)</v>
      </c>
      <c r="D27" s="565"/>
      <c r="E27" s="344">
        <f>I.InputData!E27</f>
        <v>10</v>
      </c>
      <c r="F27" s="344">
        <f>I.InputData!F27</f>
        <v>100</v>
      </c>
      <c r="G27" s="344">
        <f>I.InputData!G27</f>
        <v>200</v>
      </c>
      <c r="H27" s="344">
        <f>I.InputData!H27</f>
        <v>220</v>
      </c>
      <c r="I27" s="344">
        <f>I.InputData!I27</f>
        <v>300</v>
      </c>
      <c r="J27" s="344">
        <f>I.InputData!J27</f>
        <v>400</v>
      </c>
      <c r="K27" s="344">
        <f>I.InputData!K27</f>
        <v>550</v>
      </c>
      <c r="L27" s="344">
        <f>I.InputData!L27</f>
        <v>600</v>
      </c>
      <c r="M27" s="344">
        <f>I.InputData!M27</f>
        <v>600</v>
      </c>
      <c r="N27" s="344">
        <f>I.InputData!N27</f>
        <v>550</v>
      </c>
      <c r="O27" s="345">
        <f>I.InputData!O27</f>
        <v>500</v>
      </c>
      <c r="P27" s="151"/>
      <c r="Q27" s="284"/>
      <c r="R27" s="463" t="s">
        <v>49</v>
      </c>
      <c r="S27" s="188">
        <f t="shared" si="20"/>
        <v>0</v>
      </c>
      <c r="T27" s="189">
        <f>+(H11-G11)/365</f>
        <v>9.9232876712328775</v>
      </c>
      <c r="U27" s="189">
        <f>IF(H11&lt;$G$11,-DATEDIF(H11,$G$11,"Y")-1,DATEDIF($G$11,H11,"Y"))</f>
        <v>9</v>
      </c>
      <c r="V27" s="189">
        <f>IF(DAY($G$11)/31+MONTH($G$11)&gt;=DAY(G11)/31+MONTH(G11),DATE(YEAR(G11),MONTH($G$11),DAY($G$11))-G11,DATE(YEAR(G11)+1,MONTH($G$11),DAY($G$11))-G11)</f>
        <v>0</v>
      </c>
      <c r="W27" s="189">
        <f>H11-G11</f>
        <v>3622</v>
      </c>
      <c r="X27" s="189">
        <f>IF(DAY($G$11)/31+MONTH($G$11)&gt;DAY(H11)/31+MONTH(H11),H11-DATE(YEAR(H11)-1,MONTH($G$11),DAY($G$11)),H11-DATE(YEAR(H11),MONTH($G$11),DAY($G$11)))</f>
        <v>335</v>
      </c>
      <c r="Y27" s="189"/>
      <c r="Z27" s="191"/>
      <c r="AA27" s="155"/>
      <c r="AB27" s="155"/>
      <c r="AC27" s="157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0"/>
    </row>
    <row r="28" spans="1:46" x14ac:dyDescent="0.2">
      <c r="A28" s="291"/>
      <c r="B28" s="558"/>
      <c r="C28" s="564" t="str">
        <f>I.InputData!C28</f>
        <v>Customer Segment 2 (CS2)</v>
      </c>
      <c r="D28" s="565"/>
      <c r="E28" s="346">
        <f>I.InputData!E28</f>
        <v>0</v>
      </c>
      <c r="F28" s="346">
        <f>I.InputData!F28</f>
        <v>0</v>
      </c>
      <c r="G28" s="346">
        <f>I.InputData!G28</f>
        <v>0</v>
      </c>
      <c r="H28" s="346">
        <f>I.InputData!H28</f>
        <v>0</v>
      </c>
      <c r="I28" s="346">
        <f>I.InputData!I28</f>
        <v>0</v>
      </c>
      <c r="J28" s="346">
        <f>I.InputData!J28</f>
        <v>0</v>
      </c>
      <c r="K28" s="346">
        <f>I.InputData!K28</f>
        <v>0</v>
      </c>
      <c r="L28" s="346">
        <f>I.InputData!L28</f>
        <v>0</v>
      </c>
      <c r="M28" s="346">
        <f>I.InputData!M28</f>
        <v>0</v>
      </c>
      <c r="N28" s="346">
        <f>I.InputData!N28</f>
        <v>0</v>
      </c>
      <c r="O28" s="347">
        <f>I.InputData!O28</f>
        <v>0</v>
      </c>
      <c r="P28" s="151"/>
      <c r="Q28" s="284"/>
      <c r="R28" s="155"/>
      <c r="S28" s="204"/>
      <c r="T28" s="155"/>
      <c r="U28" s="155"/>
      <c r="V28" s="155"/>
      <c r="W28" s="155"/>
      <c r="X28" s="155"/>
      <c r="Y28" s="155"/>
      <c r="Z28" s="155"/>
      <c r="AA28" s="155"/>
      <c r="AB28" s="155"/>
      <c r="AC28" s="157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0"/>
    </row>
    <row r="29" spans="1:46" ht="15.75" thickBot="1" x14ac:dyDescent="0.3">
      <c r="A29" s="291"/>
      <c r="B29" s="559"/>
      <c r="C29" s="566" t="str">
        <f>I.InputData!C29</f>
        <v>Customer Segment 3 (CS3)</v>
      </c>
      <c r="D29" s="567"/>
      <c r="E29" s="348">
        <f>I.InputData!E29</f>
        <v>0</v>
      </c>
      <c r="F29" s="348">
        <f>I.InputData!F29</f>
        <v>0</v>
      </c>
      <c r="G29" s="348">
        <f>I.InputData!G29</f>
        <v>0</v>
      </c>
      <c r="H29" s="348">
        <f>I.InputData!H29</f>
        <v>0</v>
      </c>
      <c r="I29" s="348">
        <f>I.InputData!I29</f>
        <v>0</v>
      </c>
      <c r="J29" s="348">
        <f>I.InputData!J29</f>
        <v>0</v>
      </c>
      <c r="K29" s="348">
        <f>I.InputData!K29</f>
        <v>0</v>
      </c>
      <c r="L29" s="348">
        <f>I.InputData!L29</f>
        <v>0</v>
      </c>
      <c r="M29" s="348">
        <f>I.InputData!M29</f>
        <v>0</v>
      </c>
      <c r="N29" s="348">
        <f>I.InputData!N29</f>
        <v>0</v>
      </c>
      <c r="O29" s="349">
        <f>I.InputData!O29</f>
        <v>0</v>
      </c>
      <c r="P29" s="151"/>
      <c r="Q29" s="284"/>
      <c r="R29" s="155"/>
      <c r="S29" s="285" t="s">
        <v>153</v>
      </c>
      <c r="T29" s="155"/>
      <c r="U29" s="155"/>
      <c r="V29" s="155"/>
      <c r="W29" s="155"/>
      <c r="X29" s="155"/>
      <c r="Y29" s="155"/>
      <c r="Z29" s="155"/>
      <c r="AA29" s="155"/>
      <c r="AB29" s="155"/>
      <c r="AC29" s="157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0"/>
    </row>
    <row r="30" spans="1:46" x14ac:dyDescent="0.2">
      <c r="A30" s="291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151"/>
      <c r="Q30" s="284"/>
      <c r="R30" s="158"/>
      <c r="S30" s="197"/>
      <c r="T30" s="535" t="s">
        <v>54</v>
      </c>
      <c r="U30" s="536"/>
      <c r="V30" s="536"/>
      <c r="W30" s="536"/>
      <c r="X30" s="536"/>
      <c r="Y30" s="536"/>
      <c r="Z30" s="536"/>
      <c r="AA30" s="536"/>
      <c r="AB30" s="536"/>
      <c r="AC30" s="537"/>
      <c r="AD30" s="198">
        <f>+I.InputData!G11</f>
        <v>44927</v>
      </c>
      <c r="AE30" s="534" t="s">
        <v>38</v>
      </c>
      <c r="AF30" s="534"/>
      <c r="AG30" s="534"/>
      <c r="AH30" s="534"/>
      <c r="AI30" s="534"/>
      <c r="AJ30" s="534"/>
      <c r="AK30" s="534"/>
      <c r="AL30" s="534"/>
      <c r="AM30" s="534"/>
      <c r="AN30" s="534"/>
      <c r="AO30" s="154"/>
      <c r="AP30" s="154"/>
      <c r="AQ30" s="154"/>
      <c r="AR30" s="154"/>
      <c r="AS30" s="154"/>
      <c r="AT30" s="150"/>
    </row>
    <row r="31" spans="1:46" x14ac:dyDescent="0.2">
      <c r="A31" s="291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151"/>
      <c r="Q31" s="284"/>
      <c r="R31" s="464" t="s">
        <v>150</v>
      </c>
      <c r="S31" s="199" t="s">
        <v>53</v>
      </c>
      <c r="T31" s="199">
        <v>-10</v>
      </c>
      <c r="U31" s="199">
        <v>-9</v>
      </c>
      <c r="V31" s="199">
        <v>-8</v>
      </c>
      <c r="W31" s="199">
        <v>-7</v>
      </c>
      <c r="X31" s="199">
        <v>-6</v>
      </c>
      <c r="Y31" s="199">
        <v>-5</v>
      </c>
      <c r="Z31" s="199">
        <v>-4</v>
      </c>
      <c r="AA31" s="199">
        <v>-3</v>
      </c>
      <c r="AB31" s="199">
        <v>-2</v>
      </c>
      <c r="AC31" s="200">
        <v>-1</v>
      </c>
      <c r="AD31" s="201">
        <v>0</v>
      </c>
      <c r="AE31" s="199">
        <v>1</v>
      </c>
      <c r="AF31" s="199">
        <v>2</v>
      </c>
      <c r="AG31" s="199">
        <v>3</v>
      </c>
      <c r="AH31" s="199">
        <v>4</v>
      </c>
      <c r="AI31" s="199">
        <v>5</v>
      </c>
      <c r="AJ31" s="199">
        <v>6</v>
      </c>
      <c r="AK31" s="199">
        <v>7</v>
      </c>
      <c r="AL31" s="199">
        <v>8</v>
      </c>
      <c r="AM31" s="199">
        <v>9</v>
      </c>
      <c r="AN31" s="199">
        <v>10</v>
      </c>
      <c r="AO31" s="154"/>
      <c r="AP31" s="154"/>
      <c r="AQ31" s="154"/>
      <c r="AR31" s="154"/>
      <c r="AS31" s="154"/>
      <c r="AT31" s="150"/>
    </row>
    <row r="32" spans="1:46" ht="15.75" thickBot="1" x14ac:dyDescent="0.3">
      <c r="A32" s="291"/>
      <c r="B32" s="291"/>
      <c r="C32" s="318" t="str">
        <f>I.InputData!C32</f>
        <v>Table 4. Operational Expenditures</v>
      </c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151"/>
      <c r="Q32" s="284"/>
      <c r="R32" s="464" t="str">
        <f>IF(ROUND(SUM(T32:AN32),0)=E7,"OK","NOK, to check")</f>
        <v>OK</v>
      </c>
      <c r="S32" s="202" t="s">
        <v>46</v>
      </c>
      <c r="T32" s="224">
        <f t="shared" ref="T32:AN32" si="21">$Y23*IF(OR(T$31&lt;$S23,T$31&gt;$U23),0,IF(T$31=$S23,(IF($S23=$U23,$E7,$E7*$V23/$W23)),IF(T$31=$U23,($E7*$X23/$W23),($E7*365.25/$W23))))</f>
        <v>0</v>
      </c>
      <c r="U32" s="210">
        <f t="shared" si="21"/>
        <v>0</v>
      </c>
      <c r="V32" s="210">
        <f t="shared" si="21"/>
        <v>0</v>
      </c>
      <c r="W32" s="210">
        <f t="shared" si="21"/>
        <v>0</v>
      </c>
      <c r="X32" s="210">
        <f t="shared" si="21"/>
        <v>0</v>
      </c>
      <c r="Y32" s="210">
        <f t="shared" si="21"/>
        <v>0</v>
      </c>
      <c r="Z32" s="210">
        <f t="shared" si="21"/>
        <v>0</v>
      </c>
      <c r="AA32" s="210">
        <f t="shared" si="21"/>
        <v>500</v>
      </c>
      <c r="AB32" s="210">
        <f t="shared" si="21"/>
        <v>0</v>
      </c>
      <c r="AC32" s="210">
        <f t="shared" si="21"/>
        <v>0</v>
      </c>
      <c r="AD32" s="447">
        <f t="shared" si="21"/>
        <v>0</v>
      </c>
      <c r="AE32" s="210">
        <f t="shared" si="21"/>
        <v>0</v>
      </c>
      <c r="AF32" s="210">
        <f t="shared" si="21"/>
        <v>0</v>
      </c>
      <c r="AG32" s="210">
        <f t="shared" si="21"/>
        <v>0</v>
      </c>
      <c r="AH32" s="210">
        <f t="shared" si="21"/>
        <v>0</v>
      </c>
      <c r="AI32" s="210">
        <f t="shared" si="21"/>
        <v>0</v>
      </c>
      <c r="AJ32" s="210">
        <f t="shared" si="21"/>
        <v>0</v>
      </c>
      <c r="AK32" s="210">
        <f t="shared" si="21"/>
        <v>0</v>
      </c>
      <c r="AL32" s="210">
        <f t="shared" si="21"/>
        <v>0</v>
      </c>
      <c r="AM32" s="210">
        <f t="shared" si="21"/>
        <v>0</v>
      </c>
      <c r="AN32" s="211">
        <f t="shared" si="21"/>
        <v>0</v>
      </c>
      <c r="AO32" s="154"/>
      <c r="AP32" s="154"/>
      <c r="AQ32" s="154"/>
      <c r="AR32" s="154"/>
      <c r="AS32" s="154"/>
      <c r="AT32" s="150"/>
    </row>
    <row r="33" spans="1:46" ht="12.75" customHeight="1" x14ac:dyDescent="0.2">
      <c r="A33" s="291"/>
      <c r="B33" s="581" t="str">
        <f>I.InputData!B33</f>
        <v>OPEX</v>
      </c>
      <c r="C33" s="584" t="str">
        <f>I.InputData!C33</f>
        <v>Estimated OPEX</v>
      </c>
      <c r="D33" s="585"/>
      <c r="E33" s="338">
        <f>I.InputData!E33</f>
        <v>44927</v>
      </c>
      <c r="F33" s="339" t="str">
        <f>I.InputData!F33</f>
        <v>Commercial Phase</v>
      </c>
      <c r="G33" s="340"/>
      <c r="H33" s="340"/>
      <c r="I33" s="340"/>
      <c r="J33" s="340"/>
      <c r="K33" s="340"/>
      <c r="L33" s="340"/>
      <c r="M33" s="340"/>
      <c r="N33" s="340"/>
      <c r="O33" s="341"/>
      <c r="P33" s="151"/>
      <c r="Q33" s="284"/>
      <c r="R33" s="464" t="str">
        <f t="shared" ref="R33:R35" si="22">IF(ROUND(SUM(T33:AN33),0)=E8,"OK","NOK, to check")</f>
        <v>OK</v>
      </c>
      <c r="S33" s="203" t="s">
        <v>47</v>
      </c>
      <c r="T33" s="227">
        <f t="shared" ref="T33:AN33" si="23">$Y24*IF(OR(T$31&lt;$S24,T$31&gt;$U24),0,IF(T$31=$S24,(IF($S24=$U24,$E8,$E8*$V24/$W24)),IF(T$31=$U24,($E8*$X24/$W24),($E8*365.25/$W24))))</f>
        <v>0</v>
      </c>
      <c r="U33" s="213">
        <f t="shared" si="23"/>
        <v>0</v>
      </c>
      <c r="V33" s="213">
        <f t="shared" si="23"/>
        <v>0</v>
      </c>
      <c r="W33" s="213">
        <f t="shared" si="23"/>
        <v>0</v>
      </c>
      <c r="X33" s="213">
        <f t="shared" si="23"/>
        <v>0</v>
      </c>
      <c r="Y33" s="213">
        <f t="shared" si="23"/>
        <v>0</v>
      </c>
      <c r="Z33" s="213">
        <f t="shared" si="23"/>
        <v>0</v>
      </c>
      <c r="AA33" s="213">
        <f t="shared" si="23"/>
        <v>855.81395348837214</v>
      </c>
      <c r="AB33" s="213">
        <f t="shared" si="23"/>
        <v>144.18604651162789</v>
      </c>
      <c r="AC33" s="213">
        <f t="shared" si="23"/>
        <v>0</v>
      </c>
      <c r="AD33" s="448">
        <f t="shared" si="23"/>
        <v>0</v>
      </c>
      <c r="AE33" s="213">
        <f t="shared" si="23"/>
        <v>0</v>
      </c>
      <c r="AF33" s="213">
        <f t="shared" si="23"/>
        <v>0</v>
      </c>
      <c r="AG33" s="213">
        <f t="shared" si="23"/>
        <v>0</v>
      </c>
      <c r="AH33" s="213">
        <f t="shared" si="23"/>
        <v>0</v>
      </c>
      <c r="AI33" s="213">
        <f t="shared" si="23"/>
        <v>0</v>
      </c>
      <c r="AJ33" s="213">
        <f t="shared" si="23"/>
        <v>0</v>
      </c>
      <c r="AK33" s="213">
        <f t="shared" si="23"/>
        <v>0</v>
      </c>
      <c r="AL33" s="213">
        <f t="shared" si="23"/>
        <v>0</v>
      </c>
      <c r="AM33" s="213">
        <f t="shared" si="23"/>
        <v>0</v>
      </c>
      <c r="AN33" s="214">
        <f t="shared" si="23"/>
        <v>0</v>
      </c>
      <c r="AO33" s="154"/>
      <c r="AP33" s="154"/>
      <c r="AQ33" s="154"/>
      <c r="AR33" s="154"/>
      <c r="AS33" s="154"/>
      <c r="AT33" s="150"/>
    </row>
    <row r="34" spans="1:46" ht="13.5" thickBot="1" x14ac:dyDescent="0.25">
      <c r="A34" s="291"/>
      <c r="B34" s="582"/>
      <c r="C34" s="586"/>
      <c r="D34" s="587"/>
      <c r="E34" s="350">
        <f>I.InputData!E34</f>
        <v>0</v>
      </c>
      <c r="F34" s="350">
        <f>I.InputData!F34</f>
        <v>1</v>
      </c>
      <c r="G34" s="350">
        <f>I.InputData!G34</f>
        <v>2</v>
      </c>
      <c r="H34" s="350">
        <f>I.InputData!H34</f>
        <v>3</v>
      </c>
      <c r="I34" s="350">
        <f>I.InputData!I34</f>
        <v>4</v>
      </c>
      <c r="J34" s="350">
        <f>I.InputData!J34</f>
        <v>5</v>
      </c>
      <c r="K34" s="350">
        <f>I.InputData!K34</f>
        <v>6</v>
      </c>
      <c r="L34" s="350">
        <f>I.InputData!L34</f>
        <v>7</v>
      </c>
      <c r="M34" s="350">
        <f>I.InputData!M34</f>
        <v>8</v>
      </c>
      <c r="N34" s="350">
        <f>I.InputData!N34</f>
        <v>9</v>
      </c>
      <c r="O34" s="351">
        <f>I.InputData!O34</f>
        <v>10</v>
      </c>
      <c r="P34" s="151"/>
      <c r="Q34" s="284"/>
      <c r="R34" s="464" t="str">
        <f t="shared" si="22"/>
        <v>OK</v>
      </c>
      <c r="S34" s="203" t="s">
        <v>24</v>
      </c>
      <c r="T34" s="227">
        <f t="shared" ref="T34:AN34" si="24">$Y25*IF(OR(T$31&lt;$S25,T$31&gt;$U25),0,IF(T$31=$S25,(IF($S25=$U25,$E9,$E9*$V25/$W25)),IF(T$31=$U25,($E9*$X25/$W25),($E9*365.25/$W25))))</f>
        <v>0</v>
      </c>
      <c r="U34" s="213">
        <f t="shared" si="24"/>
        <v>0</v>
      </c>
      <c r="V34" s="213">
        <f t="shared" si="24"/>
        <v>0</v>
      </c>
      <c r="W34" s="213">
        <f t="shared" si="24"/>
        <v>0</v>
      </c>
      <c r="X34" s="213">
        <f t="shared" si="24"/>
        <v>0</v>
      </c>
      <c r="Y34" s="213">
        <f t="shared" si="24"/>
        <v>0</v>
      </c>
      <c r="Z34" s="213">
        <f t="shared" si="24"/>
        <v>0</v>
      </c>
      <c r="AA34" s="213">
        <f t="shared" si="24"/>
        <v>0</v>
      </c>
      <c r="AB34" s="213">
        <f t="shared" si="24"/>
        <v>800</v>
      </c>
      <c r="AC34" s="213">
        <f t="shared" si="24"/>
        <v>0</v>
      </c>
      <c r="AD34" s="448">
        <f t="shared" si="24"/>
        <v>0</v>
      </c>
      <c r="AE34" s="213">
        <f t="shared" si="24"/>
        <v>0</v>
      </c>
      <c r="AF34" s="213">
        <f t="shared" si="24"/>
        <v>0</v>
      </c>
      <c r="AG34" s="213">
        <f t="shared" si="24"/>
        <v>0</v>
      </c>
      <c r="AH34" s="213">
        <f t="shared" si="24"/>
        <v>0</v>
      </c>
      <c r="AI34" s="213">
        <f t="shared" si="24"/>
        <v>0</v>
      </c>
      <c r="AJ34" s="213">
        <f t="shared" si="24"/>
        <v>0</v>
      </c>
      <c r="AK34" s="213">
        <f t="shared" si="24"/>
        <v>0</v>
      </c>
      <c r="AL34" s="213">
        <f t="shared" si="24"/>
        <v>0</v>
      </c>
      <c r="AM34" s="213">
        <f t="shared" si="24"/>
        <v>0</v>
      </c>
      <c r="AN34" s="214">
        <f t="shared" si="24"/>
        <v>0</v>
      </c>
      <c r="AO34" s="154"/>
      <c r="AP34" s="154"/>
      <c r="AQ34" s="154"/>
      <c r="AR34" s="154"/>
      <c r="AS34" s="154"/>
      <c r="AT34" s="150"/>
    </row>
    <row r="35" spans="1:46" x14ac:dyDescent="0.2">
      <c r="A35" s="291"/>
      <c r="B35" s="582"/>
      <c r="C35" s="588" t="str">
        <f>I.InputData!C35</f>
        <v>Selling Expenses</v>
      </c>
      <c r="D35" s="589"/>
      <c r="E35" s="352">
        <f>I.InputData!E35</f>
        <v>50000</v>
      </c>
      <c r="F35" s="352">
        <f>I.InputData!F35</f>
        <v>50000</v>
      </c>
      <c r="G35" s="352">
        <f>I.InputData!G35</f>
        <v>50000</v>
      </c>
      <c r="H35" s="352">
        <f>I.InputData!H35</f>
        <v>60000</v>
      </c>
      <c r="I35" s="352">
        <f>I.InputData!I35</f>
        <v>60000</v>
      </c>
      <c r="J35" s="352">
        <f>I.InputData!J35</f>
        <v>60000</v>
      </c>
      <c r="K35" s="352">
        <f>I.InputData!K35</f>
        <v>60000</v>
      </c>
      <c r="L35" s="352">
        <f>I.InputData!L35</f>
        <v>60000</v>
      </c>
      <c r="M35" s="352">
        <f>I.InputData!M35</f>
        <v>60000</v>
      </c>
      <c r="N35" s="352">
        <f>I.InputData!N35</f>
        <v>60000</v>
      </c>
      <c r="O35" s="353">
        <f>I.InputData!O35</f>
        <v>55000</v>
      </c>
      <c r="P35" s="151"/>
      <c r="Q35" s="284"/>
      <c r="R35" s="464" t="str">
        <f t="shared" si="22"/>
        <v>OK</v>
      </c>
      <c r="S35" s="203" t="s">
        <v>48</v>
      </c>
      <c r="T35" s="230">
        <f t="shared" ref="T35:AN35" si="25">$Y26*IF(OR(T$31&lt;$S26,T$31&gt;$U26),0,IF(T$31=$S26,(IF($S26=$U26,$E10,$E10*$V26/$W26)),IF(T$31=$U26,($E10*$X26/$W26),($E10*365.25/$W26))))</f>
        <v>0</v>
      </c>
      <c r="U35" s="215">
        <f t="shared" si="25"/>
        <v>0</v>
      </c>
      <c r="V35" s="215">
        <f t="shared" si="25"/>
        <v>0</v>
      </c>
      <c r="W35" s="215">
        <f t="shared" si="25"/>
        <v>0</v>
      </c>
      <c r="X35" s="215">
        <f t="shared" si="25"/>
        <v>0</v>
      </c>
      <c r="Y35" s="215">
        <f t="shared" si="25"/>
        <v>0</v>
      </c>
      <c r="Z35" s="215">
        <f t="shared" si="25"/>
        <v>0</v>
      </c>
      <c r="AA35" s="215">
        <f t="shared" si="25"/>
        <v>0</v>
      </c>
      <c r="AB35" s="215">
        <f t="shared" si="25"/>
        <v>0</v>
      </c>
      <c r="AC35" s="215">
        <f t="shared" si="25"/>
        <v>600</v>
      </c>
      <c r="AD35" s="449">
        <f t="shared" si="25"/>
        <v>0</v>
      </c>
      <c r="AE35" s="215">
        <f t="shared" si="25"/>
        <v>0</v>
      </c>
      <c r="AF35" s="215">
        <f t="shared" si="25"/>
        <v>0</v>
      </c>
      <c r="AG35" s="215">
        <f t="shared" si="25"/>
        <v>0</v>
      </c>
      <c r="AH35" s="215">
        <f t="shared" si="25"/>
        <v>0</v>
      </c>
      <c r="AI35" s="215">
        <f t="shared" si="25"/>
        <v>0</v>
      </c>
      <c r="AJ35" s="215">
        <f t="shared" si="25"/>
        <v>0</v>
      </c>
      <c r="AK35" s="215">
        <f t="shared" si="25"/>
        <v>0</v>
      </c>
      <c r="AL35" s="215">
        <f t="shared" si="25"/>
        <v>0</v>
      </c>
      <c r="AM35" s="215">
        <f t="shared" si="25"/>
        <v>0</v>
      </c>
      <c r="AN35" s="216">
        <f t="shared" si="25"/>
        <v>0</v>
      </c>
      <c r="AO35" s="154"/>
      <c r="AP35" s="154"/>
      <c r="AQ35" s="154"/>
      <c r="AR35" s="154"/>
      <c r="AS35" s="154"/>
      <c r="AT35" s="150"/>
    </row>
    <row r="36" spans="1:46" x14ac:dyDescent="0.2">
      <c r="A36" s="291"/>
      <c r="B36" s="582"/>
      <c r="C36" s="590" t="str">
        <f>I.InputData!C36</f>
        <v>General Expenses</v>
      </c>
      <c r="D36" s="591"/>
      <c r="E36" s="354">
        <f>I.InputData!E36</f>
        <v>35000</v>
      </c>
      <c r="F36" s="354">
        <f>I.InputData!F36</f>
        <v>35000</v>
      </c>
      <c r="G36" s="354">
        <f>I.InputData!G36</f>
        <v>35000</v>
      </c>
      <c r="H36" s="354">
        <f>I.InputData!H36</f>
        <v>35000</v>
      </c>
      <c r="I36" s="354">
        <f>I.InputData!I36</f>
        <v>35000</v>
      </c>
      <c r="J36" s="354">
        <f>I.InputData!J36</f>
        <v>35000</v>
      </c>
      <c r="K36" s="354">
        <f>I.InputData!K36</f>
        <v>35000</v>
      </c>
      <c r="L36" s="354">
        <f>I.InputData!L36</f>
        <v>35000</v>
      </c>
      <c r="M36" s="354">
        <f>I.InputData!M36</f>
        <v>35000</v>
      </c>
      <c r="N36" s="354">
        <f>I.InputData!N36</f>
        <v>35000</v>
      </c>
      <c r="O36" s="355">
        <f>I.InputData!O36</f>
        <v>35000</v>
      </c>
      <c r="P36" s="151"/>
      <c r="Q36" s="284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7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0"/>
    </row>
    <row r="37" spans="1:46" ht="15" x14ac:dyDescent="0.25">
      <c r="A37" s="291"/>
      <c r="B37" s="582"/>
      <c r="C37" s="590" t="str">
        <f>I.InputData!C37</f>
        <v>Administration Expenses</v>
      </c>
      <c r="D37" s="591"/>
      <c r="E37" s="354">
        <f>I.InputData!E37</f>
        <v>25000</v>
      </c>
      <c r="F37" s="354">
        <f>I.InputData!F37</f>
        <v>25000</v>
      </c>
      <c r="G37" s="354">
        <f>I.InputData!G37</f>
        <v>25000</v>
      </c>
      <c r="H37" s="354">
        <f>I.InputData!H37</f>
        <v>30000</v>
      </c>
      <c r="I37" s="354">
        <f>I.InputData!I37</f>
        <v>30000</v>
      </c>
      <c r="J37" s="354">
        <f>I.InputData!J37</f>
        <v>30000</v>
      </c>
      <c r="K37" s="354">
        <f>I.InputData!K37</f>
        <v>30000</v>
      </c>
      <c r="L37" s="354">
        <f>I.InputData!L37</f>
        <v>30000</v>
      </c>
      <c r="M37" s="354">
        <f>I.InputData!M37</f>
        <v>30000</v>
      </c>
      <c r="N37" s="354">
        <f>I.InputData!N37</f>
        <v>30000</v>
      </c>
      <c r="O37" s="355">
        <f>I.InputData!O37</f>
        <v>30000</v>
      </c>
      <c r="P37" s="151"/>
      <c r="Q37" s="284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60" t="s">
        <v>154</v>
      </c>
      <c r="AC37" s="157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0"/>
    </row>
    <row r="38" spans="1:46" x14ac:dyDescent="0.2">
      <c r="A38" s="291"/>
      <c r="B38" s="582"/>
      <c r="C38" s="592" t="str">
        <f>I.InputData!C38</f>
        <v>Other Facilities Cost N.1</v>
      </c>
      <c r="D38" s="593"/>
      <c r="E38" s="346">
        <f>I.InputData!E38</f>
        <v>0</v>
      </c>
      <c r="F38" s="346">
        <f>I.InputData!F38</f>
        <v>0</v>
      </c>
      <c r="G38" s="346">
        <f>I.InputData!G38</f>
        <v>0</v>
      </c>
      <c r="H38" s="346">
        <f>I.InputData!H38</f>
        <v>0</v>
      </c>
      <c r="I38" s="346">
        <f>I.InputData!I38</f>
        <v>0</v>
      </c>
      <c r="J38" s="346">
        <f>I.InputData!J38</f>
        <v>0</v>
      </c>
      <c r="K38" s="346">
        <f>I.InputData!K38</f>
        <v>0</v>
      </c>
      <c r="L38" s="346">
        <f>I.InputData!L38</f>
        <v>0</v>
      </c>
      <c r="M38" s="346">
        <f>I.InputData!M38</f>
        <v>0</v>
      </c>
      <c r="N38" s="346">
        <f>I.InputData!N38</f>
        <v>0</v>
      </c>
      <c r="O38" s="347">
        <f>I.InputData!O38</f>
        <v>0</v>
      </c>
      <c r="P38" s="151"/>
      <c r="Q38" s="284"/>
      <c r="R38" s="286"/>
      <c r="S38" s="204"/>
      <c r="T38" s="465"/>
      <c r="U38" s="465"/>
      <c r="V38" s="204"/>
      <c r="W38" s="204"/>
      <c r="X38" s="155"/>
      <c r="Y38" s="155"/>
      <c r="Z38" s="155"/>
      <c r="AA38" s="155"/>
      <c r="AB38" s="546"/>
      <c r="AC38" s="547"/>
      <c r="AD38" s="205">
        <f>+I.InputData!G11</f>
        <v>44927</v>
      </c>
      <c r="AE38" s="534" t="s">
        <v>38</v>
      </c>
      <c r="AF38" s="534"/>
      <c r="AG38" s="534"/>
      <c r="AH38" s="534"/>
      <c r="AI38" s="534"/>
      <c r="AJ38" s="534"/>
      <c r="AK38" s="534"/>
      <c r="AL38" s="534"/>
      <c r="AM38" s="534"/>
      <c r="AN38" s="545"/>
      <c r="AO38" s="154"/>
      <c r="AP38" s="154"/>
      <c r="AQ38" s="154"/>
      <c r="AR38" s="154"/>
      <c r="AS38" s="154"/>
      <c r="AT38" s="150"/>
    </row>
    <row r="39" spans="1:46" x14ac:dyDescent="0.2">
      <c r="A39" s="291"/>
      <c r="B39" s="582"/>
      <c r="C39" s="592" t="str">
        <f>I.InputData!C39</f>
        <v>Other Facilities Cost N.2</v>
      </c>
      <c r="D39" s="593"/>
      <c r="E39" s="346">
        <f>I.InputData!E39</f>
        <v>0</v>
      </c>
      <c r="F39" s="346">
        <f>I.InputData!F39</f>
        <v>0</v>
      </c>
      <c r="G39" s="346">
        <f>I.InputData!G39</f>
        <v>0</v>
      </c>
      <c r="H39" s="346">
        <f>I.InputData!H39</f>
        <v>0</v>
      </c>
      <c r="I39" s="346">
        <f>I.InputData!I39</f>
        <v>0</v>
      </c>
      <c r="J39" s="346">
        <f>I.InputData!J39</f>
        <v>0</v>
      </c>
      <c r="K39" s="346">
        <f>I.InputData!K39</f>
        <v>0</v>
      </c>
      <c r="L39" s="346">
        <f>I.InputData!L39</f>
        <v>0</v>
      </c>
      <c r="M39" s="346">
        <f>I.InputData!M39</f>
        <v>0</v>
      </c>
      <c r="N39" s="346">
        <f>I.InputData!N39</f>
        <v>0</v>
      </c>
      <c r="O39" s="347">
        <f>I.InputData!O39</f>
        <v>0</v>
      </c>
      <c r="P39" s="151"/>
      <c r="Q39" s="284"/>
      <c r="R39" s="286"/>
      <c r="S39" s="204"/>
      <c r="T39" s="465"/>
      <c r="U39" s="465"/>
      <c r="V39" s="204"/>
      <c r="W39" s="204"/>
      <c r="X39" s="206"/>
      <c r="Y39" s="206"/>
      <c r="Z39" s="204"/>
      <c r="AA39" s="204"/>
      <c r="AB39" s="548"/>
      <c r="AC39" s="549"/>
      <c r="AD39" s="207">
        <v>0</v>
      </c>
      <c r="AE39" s="208">
        <v>1</v>
      </c>
      <c r="AF39" s="208">
        <v>2</v>
      </c>
      <c r="AG39" s="208">
        <v>3</v>
      </c>
      <c r="AH39" s="208">
        <v>4</v>
      </c>
      <c r="AI39" s="208">
        <v>5</v>
      </c>
      <c r="AJ39" s="208">
        <v>6</v>
      </c>
      <c r="AK39" s="208">
        <v>7</v>
      </c>
      <c r="AL39" s="208">
        <v>8</v>
      </c>
      <c r="AM39" s="208">
        <v>9</v>
      </c>
      <c r="AN39" s="208">
        <v>10</v>
      </c>
      <c r="AO39" s="154"/>
      <c r="AP39" s="154"/>
      <c r="AQ39" s="154"/>
      <c r="AR39" s="154"/>
      <c r="AS39" s="154"/>
      <c r="AT39" s="150"/>
    </row>
    <row r="40" spans="1:46" ht="13.5" thickBot="1" x14ac:dyDescent="0.25">
      <c r="A40" s="291"/>
      <c r="B40" s="583"/>
      <c r="C40" s="594" t="str">
        <f>I.InputData!C40</f>
        <v>Other Facilities Cost N.3</v>
      </c>
      <c r="D40" s="595"/>
      <c r="E40" s="348">
        <f>I.InputData!E40</f>
        <v>0</v>
      </c>
      <c r="F40" s="348">
        <f>I.InputData!F40</f>
        <v>0</v>
      </c>
      <c r="G40" s="348">
        <f>I.InputData!G40</f>
        <v>0</v>
      </c>
      <c r="H40" s="348">
        <f>I.InputData!H40</f>
        <v>0</v>
      </c>
      <c r="I40" s="348">
        <f>I.InputData!I40</f>
        <v>0</v>
      </c>
      <c r="J40" s="348">
        <f>I.InputData!J40</f>
        <v>0</v>
      </c>
      <c r="K40" s="348">
        <f>I.InputData!K40</f>
        <v>0</v>
      </c>
      <c r="L40" s="348">
        <f>I.InputData!L40</f>
        <v>0</v>
      </c>
      <c r="M40" s="348">
        <f>I.InputData!M40</f>
        <v>0</v>
      </c>
      <c r="N40" s="348">
        <f>I.InputData!N40</f>
        <v>0</v>
      </c>
      <c r="O40" s="349">
        <f>I.InputData!O40</f>
        <v>0</v>
      </c>
      <c r="P40" s="151"/>
      <c r="Q40" s="284"/>
      <c r="R40" s="286"/>
      <c r="S40" s="204"/>
      <c r="T40" s="204"/>
      <c r="U40" s="204"/>
      <c r="V40" s="204"/>
      <c r="W40" s="204"/>
      <c r="X40" s="206"/>
      <c r="Y40" s="206"/>
      <c r="Z40" s="204"/>
      <c r="AA40" s="204"/>
      <c r="AB40" s="538" t="s">
        <v>75</v>
      </c>
      <c r="AC40" s="209" t="s">
        <v>140</v>
      </c>
      <c r="AD40" s="210">
        <f>+E27</f>
        <v>10</v>
      </c>
      <c r="AE40" s="210">
        <f t="shared" ref="AE40:AN42" si="26">(AD40*(1-$F$21)+F27)</f>
        <v>109</v>
      </c>
      <c r="AF40" s="210">
        <f t="shared" si="26"/>
        <v>298.10000000000002</v>
      </c>
      <c r="AG40" s="210">
        <f t="shared" si="26"/>
        <v>488.29</v>
      </c>
      <c r="AH40" s="210">
        <f t="shared" si="26"/>
        <v>739.46100000000001</v>
      </c>
      <c r="AI40" s="210">
        <f t="shared" si="26"/>
        <v>1065.5149000000001</v>
      </c>
      <c r="AJ40" s="210">
        <f t="shared" si="26"/>
        <v>1508.9634100000003</v>
      </c>
      <c r="AK40" s="210">
        <f t="shared" si="26"/>
        <v>1958.0670690000004</v>
      </c>
      <c r="AL40" s="210">
        <f t="shared" si="26"/>
        <v>2362.2603621000003</v>
      </c>
      <c r="AM40" s="210">
        <f t="shared" si="26"/>
        <v>2676.0343258900002</v>
      </c>
      <c r="AN40" s="211">
        <f t="shared" si="26"/>
        <v>2908.4308933010002</v>
      </c>
      <c r="AO40" s="154"/>
      <c r="AP40" s="154"/>
      <c r="AQ40" s="154"/>
      <c r="AR40" s="154"/>
      <c r="AS40" s="154"/>
      <c r="AT40" s="150"/>
    </row>
    <row r="41" spans="1:46" x14ac:dyDescent="0.2">
      <c r="A41" s="291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151"/>
      <c r="Q41" s="284"/>
      <c r="R41" s="286"/>
      <c r="S41" s="204"/>
      <c r="T41" s="204"/>
      <c r="U41" s="204"/>
      <c r="V41" s="204"/>
      <c r="W41" s="204"/>
      <c r="X41" s="206"/>
      <c r="Y41" s="206"/>
      <c r="Z41" s="204"/>
      <c r="AA41" s="204"/>
      <c r="AB41" s="539"/>
      <c r="AC41" s="212" t="s">
        <v>141</v>
      </c>
      <c r="AD41" s="213">
        <f>+E28</f>
        <v>0</v>
      </c>
      <c r="AE41" s="213">
        <f t="shared" si="26"/>
        <v>0</v>
      </c>
      <c r="AF41" s="213">
        <f t="shared" si="26"/>
        <v>0</v>
      </c>
      <c r="AG41" s="213">
        <f t="shared" si="26"/>
        <v>0</v>
      </c>
      <c r="AH41" s="213">
        <f t="shared" si="26"/>
        <v>0</v>
      </c>
      <c r="AI41" s="213">
        <f t="shared" si="26"/>
        <v>0</v>
      </c>
      <c r="AJ41" s="213">
        <f t="shared" si="26"/>
        <v>0</v>
      </c>
      <c r="AK41" s="213">
        <f t="shared" si="26"/>
        <v>0</v>
      </c>
      <c r="AL41" s="213">
        <f t="shared" si="26"/>
        <v>0</v>
      </c>
      <c r="AM41" s="213">
        <f t="shared" si="26"/>
        <v>0</v>
      </c>
      <c r="AN41" s="214">
        <f t="shared" si="26"/>
        <v>0</v>
      </c>
      <c r="AO41" s="154"/>
      <c r="AP41" s="154"/>
      <c r="AQ41" s="154"/>
      <c r="AR41" s="154"/>
      <c r="AS41" s="154"/>
      <c r="AT41" s="150"/>
    </row>
    <row r="42" spans="1:46" x14ac:dyDescent="0.2">
      <c r="A42" s="291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151"/>
      <c r="Q42" s="284"/>
      <c r="R42" s="286"/>
      <c r="S42" s="204"/>
      <c r="T42" s="204"/>
      <c r="U42" s="204"/>
      <c r="V42" s="204"/>
      <c r="W42" s="204"/>
      <c r="X42" s="206"/>
      <c r="Y42" s="206"/>
      <c r="Z42" s="204"/>
      <c r="AA42" s="204"/>
      <c r="AB42" s="540"/>
      <c r="AC42" s="212" t="s">
        <v>142</v>
      </c>
      <c r="AD42" s="215">
        <f>+E29</f>
        <v>0</v>
      </c>
      <c r="AE42" s="213">
        <f t="shared" si="26"/>
        <v>0</v>
      </c>
      <c r="AF42" s="215">
        <f t="shared" si="26"/>
        <v>0</v>
      </c>
      <c r="AG42" s="215">
        <f t="shared" si="26"/>
        <v>0</v>
      </c>
      <c r="AH42" s="215">
        <f t="shared" si="26"/>
        <v>0</v>
      </c>
      <c r="AI42" s="215">
        <f t="shared" si="26"/>
        <v>0</v>
      </c>
      <c r="AJ42" s="215">
        <f t="shared" si="26"/>
        <v>0</v>
      </c>
      <c r="AK42" s="215">
        <f t="shared" si="26"/>
        <v>0</v>
      </c>
      <c r="AL42" s="215">
        <f t="shared" si="26"/>
        <v>0</v>
      </c>
      <c r="AM42" s="215">
        <f t="shared" si="26"/>
        <v>0</v>
      </c>
      <c r="AN42" s="216">
        <f t="shared" si="26"/>
        <v>0</v>
      </c>
      <c r="AO42" s="154"/>
      <c r="AP42" s="154"/>
      <c r="AQ42" s="154"/>
      <c r="AR42" s="154"/>
      <c r="AS42" s="154"/>
      <c r="AT42" s="150"/>
    </row>
    <row r="43" spans="1:46" ht="15.75" thickBot="1" x14ac:dyDescent="0.3">
      <c r="A43" s="291"/>
      <c r="B43" s="291"/>
      <c r="C43" s="318" t="str">
        <f>I.InputData!C43</f>
        <v>Table 5. Capital Expenditures</v>
      </c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151"/>
      <c r="Q43" s="284"/>
      <c r="R43" s="286"/>
      <c r="S43" s="204"/>
      <c r="T43" s="204"/>
      <c r="U43" s="204"/>
      <c r="V43" s="204"/>
      <c r="W43" s="204"/>
      <c r="X43" s="217"/>
      <c r="Y43" s="217"/>
      <c r="Z43" s="204"/>
      <c r="AA43" s="204"/>
      <c r="AB43" s="538" t="s">
        <v>114</v>
      </c>
      <c r="AC43" s="209" t="s">
        <v>140</v>
      </c>
      <c r="AD43" s="210">
        <f>E27*$D17*(1+$D$20)^AD$39</f>
        <v>18000</v>
      </c>
      <c r="AE43" s="210">
        <f>F27*$D17*(1+$D$20)^AE$39</f>
        <v>183600</v>
      </c>
      <c r="AF43" s="210">
        <f t="shared" ref="AF43:AN45" si="27">G27*$D17*(1+$D$20)^AF$39</f>
        <v>374544</v>
      </c>
      <c r="AG43" s="210">
        <f t="shared" si="27"/>
        <v>420238.36799999996</v>
      </c>
      <c r="AH43" s="210">
        <f t="shared" si="27"/>
        <v>584513.36639999994</v>
      </c>
      <c r="AI43" s="210">
        <f t="shared" si="27"/>
        <v>794938.17830400006</v>
      </c>
      <c r="AJ43" s="210">
        <f t="shared" si="27"/>
        <v>1114900.79507136</v>
      </c>
      <c r="AK43" s="210">
        <f t="shared" si="27"/>
        <v>1240580.5210612223</v>
      </c>
      <c r="AL43" s="210">
        <f t="shared" si="27"/>
        <v>1265392.1314824468</v>
      </c>
      <c r="AM43" s="210">
        <f t="shared" si="27"/>
        <v>1183141.6429360877</v>
      </c>
      <c r="AN43" s="210">
        <f t="shared" si="27"/>
        <v>1097094.9779952813</v>
      </c>
      <c r="AO43" s="154"/>
      <c r="AP43" s="154"/>
      <c r="AQ43" s="154"/>
      <c r="AR43" s="154"/>
      <c r="AS43" s="154"/>
      <c r="AT43" s="150"/>
    </row>
    <row r="44" spans="1:46" ht="12.75" customHeight="1" x14ac:dyDescent="0.2">
      <c r="A44" s="291"/>
      <c r="B44" s="596" t="str">
        <f>I.InputData!B44</f>
        <v>CAPEX</v>
      </c>
      <c r="C44" s="599" t="str">
        <f>I.InputData!C44</f>
        <v>Estimated CAPEX</v>
      </c>
      <c r="D44" s="600"/>
      <c r="E44" s="356">
        <f>+$G$11</f>
        <v>44927</v>
      </c>
      <c r="F44" s="339" t="str">
        <f>I.InputData!F44</f>
        <v>Commercial Phase</v>
      </c>
      <c r="G44" s="340"/>
      <c r="H44" s="340"/>
      <c r="I44" s="340"/>
      <c r="J44" s="340"/>
      <c r="K44" s="340"/>
      <c r="L44" s="340"/>
      <c r="M44" s="340"/>
      <c r="N44" s="340"/>
      <c r="O44" s="357"/>
      <c r="P44" s="151"/>
      <c r="Q44" s="284"/>
      <c r="R44" s="286"/>
      <c r="S44" s="204"/>
      <c r="T44" s="204"/>
      <c r="U44" s="204"/>
      <c r="V44" s="204"/>
      <c r="W44" s="204"/>
      <c r="X44" s="204"/>
      <c r="Y44" s="204"/>
      <c r="Z44" s="204"/>
      <c r="AA44" s="204"/>
      <c r="AB44" s="539"/>
      <c r="AC44" s="212" t="s">
        <v>141</v>
      </c>
      <c r="AD44" s="448">
        <f t="shared" ref="AD44:AE45" si="28">E28*$D18*(1+$D$20)^AD$39</f>
        <v>0</v>
      </c>
      <c r="AE44" s="213">
        <f t="shared" si="28"/>
        <v>0</v>
      </c>
      <c r="AF44" s="213">
        <f t="shared" si="27"/>
        <v>0</v>
      </c>
      <c r="AG44" s="213">
        <f t="shared" si="27"/>
        <v>0</v>
      </c>
      <c r="AH44" s="213">
        <f t="shared" si="27"/>
        <v>0</v>
      </c>
      <c r="AI44" s="213">
        <f t="shared" si="27"/>
        <v>0</v>
      </c>
      <c r="AJ44" s="213">
        <f t="shared" si="27"/>
        <v>0</v>
      </c>
      <c r="AK44" s="213">
        <f t="shared" si="27"/>
        <v>0</v>
      </c>
      <c r="AL44" s="213">
        <f t="shared" si="27"/>
        <v>0</v>
      </c>
      <c r="AM44" s="213">
        <f t="shared" si="27"/>
        <v>0</v>
      </c>
      <c r="AN44" s="213">
        <f t="shared" si="27"/>
        <v>0</v>
      </c>
      <c r="AO44" s="154"/>
      <c r="AP44" s="154"/>
      <c r="AQ44" s="154"/>
      <c r="AR44" s="154"/>
      <c r="AS44" s="154"/>
      <c r="AT44" s="150"/>
    </row>
    <row r="45" spans="1:46" ht="13.5" thickBot="1" x14ac:dyDescent="0.25">
      <c r="A45" s="291"/>
      <c r="B45" s="597"/>
      <c r="C45" s="601"/>
      <c r="D45" s="602"/>
      <c r="E45" s="350">
        <f>I.InputData!E45</f>
        <v>0</v>
      </c>
      <c r="F45" s="350">
        <f>I.InputData!F45</f>
        <v>1</v>
      </c>
      <c r="G45" s="350">
        <f>I.InputData!G45</f>
        <v>2</v>
      </c>
      <c r="H45" s="350">
        <f>I.InputData!H45</f>
        <v>3</v>
      </c>
      <c r="I45" s="350">
        <f>I.InputData!I45</f>
        <v>4</v>
      </c>
      <c r="J45" s="350">
        <f>I.InputData!J45</f>
        <v>5</v>
      </c>
      <c r="K45" s="350">
        <f>I.InputData!K45</f>
        <v>6</v>
      </c>
      <c r="L45" s="350">
        <f>I.InputData!L45</f>
        <v>7</v>
      </c>
      <c r="M45" s="350">
        <f>I.InputData!M45</f>
        <v>8</v>
      </c>
      <c r="N45" s="350">
        <f>I.InputData!N45</f>
        <v>9</v>
      </c>
      <c r="O45" s="351">
        <f>I.InputData!O45</f>
        <v>10</v>
      </c>
      <c r="P45" s="151"/>
      <c r="Q45" s="284"/>
      <c r="R45" s="286"/>
      <c r="S45" s="204"/>
      <c r="T45" s="204"/>
      <c r="U45" s="204"/>
      <c r="V45" s="204"/>
      <c r="W45" s="204"/>
      <c r="X45" s="204"/>
      <c r="Y45" s="204"/>
      <c r="Z45" s="204"/>
      <c r="AA45" s="204"/>
      <c r="AB45" s="539"/>
      <c r="AC45" s="212" t="s">
        <v>142</v>
      </c>
      <c r="AD45" s="448">
        <f t="shared" si="28"/>
        <v>0</v>
      </c>
      <c r="AE45" s="213">
        <f t="shared" si="28"/>
        <v>0</v>
      </c>
      <c r="AF45" s="213">
        <f t="shared" si="27"/>
        <v>0</v>
      </c>
      <c r="AG45" s="213">
        <f t="shared" si="27"/>
        <v>0</v>
      </c>
      <c r="AH45" s="213">
        <f t="shared" si="27"/>
        <v>0</v>
      </c>
      <c r="AI45" s="213">
        <f t="shared" si="27"/>
        <v>0</v>
      </c>
      <c r="AJ45" s="213">
        <f t="shared" si="27"/>
        <v>0</v>
      </c>
      <c r="AK45" s="213">
        <f t="shared" si="27"/>
        <v>0</v>
      </c>
      <c r="AL45" s="213">
        <f t="shared" si="27"/>
        <v>0</v>
      </c>
      <c r="AM45" s="213">
        <f t="shared" si="27"/>
        <v>0</v>
      </c>
      <c r="AN45" s="213">
        <f t="shared" si="27"/>
        <v>0</v>
      </c>
      <c r="AO45" s="154"/>
      <c r="AP45" s="154"/>
      <c r="AQ45" s="154"/>
      <c r="AR45" s="154"/>
      <c r="AS45" s="154"/>
      <c r="AT45" s="150"/>
    </row>
    <row r="46" spans="1:46" x14ac:dyDescent="0.2">
      <c r="A46" s="291"/>
      <c r="B46" s="597"/>
      <c r="C46" s="588" t="str">
        <f>I.InputData!C46</f>
        <v>Lifetime Investment (years)</v>
      </c>
      <c r="D46" s="603"/>
      <c r="E46" s="358">
        <f>I.InputData!E46</f>
        <v>5</v>
      </c>
      <c r="F46" s="359"/>
      <c r="G46" s="359"/>
      <c r="H46" s="359"/>
      <c r="I46" s="359"/>
      <c r="J46" s="359"/>
      <c r="K46" s="359"/>
      <c r="L46" s="359"/>
      <c r="M46" s="359"/>
      <c r="N46" s="359"/>
      <c r="O46" s="360"/>
      <c r="P46" s="151"/>
      <c r="Q46" s="284"/>
      <c r="R46" s="286"/>
      <c r="S46" s="155"/>
      <c r="T46" s="155"/>
      <c r="U46" s="155"/>
      <c r="V46" s="155"/>
      <c r="W46" s="204"/>
      <c r="X46" s="204"/>
      <c r="Y46" s="204"/>
      <c r="Z46" s="204"/>
      <c r="AA46" s="204"/>
      <c r="AB46" s="540"/>
      <c r="AC46" s="212" t="s">
        <v>6</v>
      </c>
      <c r="AD46" s="213">
        <f t="shared" ref="AD46:AN46" si="29">+SUM(AD43:AD45)</f>
        <v>18000</v>
      </c>
      <c r="AE46" s="213">
        <f t="shared" si="29"/>
        <v>183600</v>
      </c>
      <c r="AF46" s="213">
        <f t="shared" si="29"/>
        <v>374544</v>
      </c>
      <c r="AG46" s="213">
        <f t="shared" si="29"/>
        <v>420238.36799999996</v>
      </c>
      <c r="AH46" s="213">
        <f t="shared" si="29"/>
        <v>584513.36639999994</v>
      </c>
      <c r="AI46" s="213">
        <f t="shared" si="29"/>
        <v>794938.17830400006</v>
      </c>
      <c r="AJ46" s="213">
        <f t="shared" si="29"/>
        <v>1114900.79507136</v>
      </c>
      <c r="AK46" s="213">
        <f t="shared" si="29"/>
        <v>1240580.5210612223</v>
      </c>
      <c r="AL46" s="213">
        <f t="shared" si="29"/>
        <v>1265392.1314824468</v>
      </c>
      <c r="AM46" s="213">
        <f t="shared" si="29"/>
        <v>1183141.6429360877</v>
      </c>
      <c r="AN46" s="214">
        <f t="shared" si="29"/>
        <v>1097094.9779952813</v>
      </c>
      <c r="AO46" s="154"/>
      <c r="AP46" s="154"/>
      <c r="AQ46" s="154"/>
      <c r="AR46" s="154"/>
      <c r="AS46" s="154"/>
      <c r="AT46" s="150"/>
    </row>
    <row r="47" spans="1:46" x14ac:dyDescent="0.2">
      <c r="A47" s="291"/>
      <c r="B47" s="597"/>
      <c r="C47" s="604" t="str">
        <f>I.InputData!C47</f>
        <v>Investment N.1</v>
      </c>
      <c r="D47" s="605"/>
      <c r="E47" s="361">
        <f>I.InputData!E47</f>
        <v>0</v>
      </c>
      <c r="F47" s="361">
        <f>I.InputData!F47</f>
        <v>0</v>
      </c>
      <c r="G47" s="361">
        <f>I.InputData!G47</f>
        <v>0</v>
      </c>
      <c r="H47" s="361">
        <f>I.InputData!H47</f>
        <v>0</v>
      </c>
      <c r="I47" s="361">
        <f>I.InputData!I47</f>
        <v>0</v>
      </c>
      <c r="J47" s="361">
        <f>I.InputData!J47</f>
        <v>0</v>
      </c>
      <c r="K47" s="361">
        <f>I.InputData!K47</f>
        <v>0</v>
      </c>
      <c r="L47" s="361">
        <f>I.InputData!L47</f>
        <v>0</v>
      </c>
      <c r="M47" s="361">
        <f>I.InputData!M47</f>
        <v>0</v>
      </c>
      <c r="N47" s="361">
        <f>I.InputData!N47</f>
        <v>0</v>
      </c>
      <c r="O47" s="362">
        <f>I.InputData!O47</f>
        <v>0</v>
      </c>
      <c r="P47" s="151"/>
      <c r="Q47" s="284"/>
      <c r="R47" s="286"/>
      <c r="S47" s="204"/>
      <c r="T47" s="204"/>
      <c r="U47" s="204"/>
      <c r="V47" s="204"/>
      <c r="W47" s="204"/>
      <c r="X47" s="204"/>
      <c r="Y47" s="204"/>
      <c r="Z47" s="204"/>
      <c r="AA47" s="204"/>
      <c r="AB47" s="538" t="s">
        <v>115</v>
      </c>
      <c r="AC47" s="209" t="s">
        <v>140</v>
      </c>
      <c r="AD47" s="210">
        <f t="shared" ref="AD47:AN49" si="30">+E27*$E17*(1+$E$20)^AD$39</f>
        <v>1500</v>
      </c>
      <c r="AE47" s="210">
        <f t="shared" si="30"/>
        <v>15300</v>
      </c>
      <c r="AF47" s="210">
        <f t="shared" si="30"/>
        <v>31212</v>
      </c>
      <c r="AG47" s="210">
        <f t="shared" si="30"/>
        <v>35019.863999999994</v>
      </c>
      <c r="AH47" s="210">
        <f t="shared" si="30"/>
        <v>48709.447200000002</v>
      </c>
      <c r="AI47" s="210">
        <f t="shared" si="30"/>
        <v>66244.848192000005</v>
      </c>
      <c r="AJ47" s="210">
        <f t="shared" si="30"/>
        <v>92908.399589280001</v>
      </c>
      <c r="AK47" s="210">
        <f t="shared" si="30"/>
        <v>103381.71008843518</v>
      </c>
      <c r="AL47" s="210">
        <f t="shared" si="30"/>
        <v>105449.3442902039</v>
      </c>
      <c r="AM47" s="210">
        <f t="shared" si="30"/>
        <v>98595.13691134064</v>
      </c>
      <c r="AN47" s="211">
        <f t="shared" si="30"/>
        <v>91424.581499606778</v>
      </c>
      <c r="AO47" s="154"/>
      <c r="AP47" s="154"/>
      <c r="AQ47" s="154"/>
      <c r="AR47" s="154"/>
      <c r="AS47" s="154"/>
      <c r="AT47" s="150"/>
    </row>
    <row r="48" spans="1:46" ht="12.75" customHeight="1" thickBot="1" x14ac:dyDescent="0.25">
      <c r="A48" s="291"/>
      <c r="B48" s="597"/>
      <c r="C48" s="606" t="str">
        <f>I.InputData!C48</f>
        <v>Investment N.2</v>
      </c>
      <c r="D48" s="607"/>
      <c r="E48" s="363">
        <f>I.InputData!E48</f>
        <v>0</v>
      </c>
      <c r="F48" s="363">
        <f>I.InputData!F48</f>
        <v>20000</v>
      </c>
      <c r="G48" s="363">
        <f>I.InputData!G48</f>
        <v>0</v>
      </c>
      <c r="H48" s="363">
        <f>I.InputData!H48</f>
        <v>0</v>
      </c>
      <c r="I48" s="363">
        <f>I.InputData!I48</f>
        <v>0</v>
      </c>
      <c r="J48" s="363">
        <f>I.InputData!J48</f>
        <v>0</v>
      </c>
      <c r="K48" s="363">
        <f>I.InputData!K48</f>
        <v>0</v>
      </c>
      <c r="L48" s="363">
        <f>I.InputData!L48</f>
        <v>0</v>
      </c>
      <c r="M48" s="363">
        <f>I.InputData!M48</f>
        <v>0</v>
      </c>
      <c r="N48" s="363">
        <f>I.InputData!N48</f>
        <v>0</v>
      </c>
      <c r="O48" s="364">
        <f>I.InputData!O48</f>
        <v>0</v>
      </c>
      <c r="P48" s="151"/>
      <c r="Q48" s="284"/>
      <c r="R48" s="286"/>
      <c r="S48" s="204"/>
      <c r="T48" s="204"/>
      <c r="U48" s="204"/>
      <c r="V48" s="204"/>
      <c r="W48" s="155"/>
      <c r="X48" s="155"/>
      <c r="Y48" s="155"/>
      <c r="Z48" s="155"/>
      <c r="AA48" s="204"/>
      <c r="AB48" s="539"/>
      <c r="AC48" s="212" t="s">
        <v>141</v>
      </c>
      <c r="AD48" s="213">
        <f t="shared" si="30"/>
        <v>0</v>
      </c>
      <c r="AE48" s="213">
        <f t="shared" si="30"/>
        <v>0</v>
      </c>
      <c r="AF48" s="213">
        <f t="shared" si="30"/>
        <v>0</v>
      </c>
      <c r="AG48" s="213">
        <f t="shared" si="30"/>
        <v>0</v>
      </c>
      <c r="AH48" s="213">
        <f t="shared" si="30"/>
        <v>0</v>
      </c>
      <c r="AI48" s="213">
        <f t="shared" si="30"/>
        <v>0</v>
      </c>
      <c r="AJ48" s="213">
        <f t="shared" si="30"/>
        <v>0</v>
      </c>
      <c r="AK48" s="213">
        <f t="shared" si="30"/>
        <v>0</v>
      </c>
      <c r="AL48" s="213">
        <f t="shared" si="30"/>
        <v>0</v>
      </c>
      <c r="AM48" s="213">
        <f t="shared" si="30"/>
        <v>0</v>
      </c>
      <c r="AN48" s="214">
        <f t="shared" si="30"/>
        <v>0</v>
      </c>
      <c r="AO48" s="154"/>
      <c r="AP48" s="154"/>
      <c r="AQ48" s="154"/>
      <c r="AR48" s="154"/>
      <c r="AS48" s="154"/>
      <c r="AT48" s="150"/>
    </row>
    <row r="49" spans="1:46" x14ac:dyDescent="0.2">
      <c r="A49" s="291"/>
      <c r="B49" s="597"/>
      <c r="C49" s="590" t="str">
        <f>I.InputData!C49</f>
        <v>Lifetime Investment (years)</v>
      </c>
      <c r="D49" s="591"/>
      <c r="E49" s="365">
        <f>I.InputData!E49</f>
        <v>7</v>
      </c>
      <c r="F49" s="366"/>
      <c r="G49" s="366"/>
      <c r="H49" s="366"/>
      <c r="I49" s="366"/>
      <c r="J49" s="366"/>
      <c r="K49" s="366"/>
      <c r="L49" s="366"/>
      <c r="M49" s="366"/>
      <c r="N49" s="366"/>
      <c r="O49" s="367"/>
      <c r="P49" s="151"/>
      <c r="Q49" s="284"/>
      <c r="R49" s="286"/>
      <c r="S49" s="155"/>
      <c r="T49" s="155"/>
      <c r="U49" s="155"/>
      <c r="V49" s="155"/>
      <c r="W49" s="155"/>
      <c r="X49" s="155"/>
      <c r="Y49" s="155"/>
      <c r="Z49" s="155"/>
      <c r="AA49" s="155"/>
      <c r="AB49" s="539"/>
      <c r="AC49" s="212" t="s">
        <v>142</v>
      </c>
      <c r="AD49" s="213">
        <f t="shared" si="30"/>
        <v>0</v>
      </c>
      <c r="AE49" s="213">
        <f t="shared" si="30"/>
        <v>0</v>
      </c>
      <c r="AF49" s="213">
        <f t="shared" si="30"/>
        <v>0</v>
      </c>
      <c r="AG49" s="213">
        <f t="shared" si="30"/>
        <v>0</v>
      </c>
      <c r="AH49" s="213">
        <f t="shared" si="30"/>
        <v>0</v>
      </c>
      <c r="AI49" s="213">
        <f t="shared" si="30"/>
        <v>0</v>
      </c>
      <c r="AJ49" s="213">
        <f t="shared" si="30"/>
        <v>0</v>
      </c>
      <c r="AK49" s="213">
        <f t="shared" si="30"/>
        <v>0</v>
      </c>
      <c r="AL49" s="213">
        <f t="shared" si="30"/>
        <v>0</v>
      </c>
      <c r="AM49" s="213">
        <f t="shared" si="30"/>
        <v>0</v>
      </c>
      <c r="AN49" s="214">
        <f t="shared" si="30"/>
        <v>0</v>
      </c>
      <c r="AO49" s="154"/>
      <c r="AP49" s="154"/>
      <c r="AQ49" s="154"/>
      <c r="AR49" s="154"/>
      <c r="AS49" s="154"/>
      <c r="AT49" s="150"/>
    </row>
    <row r="50" spans="1:46" x14ac:dyDescent="0.2">
      <c r="A50" s="291"/>
      <c r="B50" s="597"/>
      <c r="C50" s="604" t="str">
        <f>I.InputData!C50</f>
        <v>Investment N.3</v>
      </c>
      <c r="D50" s="605"/>
      <c r="E50" s="361">
        <f>I.InputData!E50</f>
        <v>5000</v>
      </c>
      <c r="F50" s="361">
        <f>I.InputData!F50</f>
        <v>0</v>
      </c>
      <c r="G50" s="361">
        <f>I.InputData!G50</f>
        <v>0</v>
      </c>
      <c r="H50" s="361">
        <f>I.InputData!H50</f>
        <v>0</v>
      </c>
      <c r="I50" s="361">
        <f>I.InputData!I50</f>
        <v>0</v>
      </c>
      <c r="J50" s="361">
        <f>I.InputData!J50</f>
        <v>0</v>
      </c>
      <c r="K50" s="361">
        <f>I.InputData!K50</f>
        <v>0</v>
      </c>
      <c r="L50" s="361">
        <f>I.InputData!L50</f>
        <v>0</v>
      </c>
      <c r="M50" s="361">
        <f>I.InputData!M50</f>
        <v>0</v>
      </c>
      <c r="N50" s="361">
        <f>I.InputData!N50</f>
        <v>0</v>
      </c>
      <c r="O50" s="362">
        <f>I.InputData!O50</f>
        <v>0</v>
      </c>
      <c r="P50" s="151"/>
      <c r="Q50" s="284"/>
      <c r="R50" s="286"/>
      <c r="S50" s="155"/>
      <c r="T50" s="155"/>
      <c r="U50" s="155"/>
      <c r="V50" s="155"/>
      <c r="W50" s="155"/>
      <c r="X50" s="155"/>
      <c r="Y50" s="155"/>
      <c r="Z50" s="155"/>
      <c r="AA50" s="155"/>
      <c r="AB50" s="540"/>
      <c r="AC50" s="212" t="s">
        <v>6</v>
      </c>
      <c r="AD50" s="215">
        <f t="shared" ref="AD50:AN50" si="31">+SUM(AD47:AD49)</f>
        <v>1500</v>
      </c>
      <c r="AE50" s="215">
        <f t="shared" si="31"/>
        <v>15300</v>
      </c>
      <c r="AF50" s="215">
        <f t="shared" si="31"/>
        <v>31212</v>
      </c>
      <c r="AG50" s="215">
        <f t="shared" si="31"/>
        <v>35019.863999999994</v>
      </c>
      <c r="AH50" s="215">
        <f t="shared" si="31"/>
        <v>48709.447200000002</v>
      </c>
      <c r="AI50" s="215">
        <f t="shared" si="31"/>
        <v>66244.848192000005</v>
      </c>
      <c r="AJ50" s="215">
        <f t="shared" si="31"/>
        <v>92908.399589280001</v>
      </c>
      <c r="AK50" s="215">
        <f t="shared" si="31"/>
        <v>103381.71008843518</v>
      </c>
      <c r="AL50" s="215">
        <f t="shared" si="31"/>
        <v>105449.3442902039</v>
      </c>
      <c r="AM50" s="215">
        <f t="shared" si="31"/>
        <v>98595.13691134064</v>
      </c>
      <c r="AN50" s="216">
        <f t="shared" si="31"/>
        <v>91424.581499606778</v>
      </c>
      <c r="AO50" s="154"/>
      <c r="AP50" s="154"/>
      <c r="AQ50" s="154"/>
      <c r="AR50" s="154"/>
      <c r="AS50" s="154"/>
      <c r="AT50" s="150"/>
    </row>
    <row r="51" spans="1:46" ht="13.5" thickBot="1" x14ac:dyDescent="0.25">
      <c r="A51" s="291"/>
      <c r="B51" s="598"/>
      <c r="C51" s="606" t="str">
        <f>I.InputData!C51</f>
        <v>Investment N.4</v>
      </c>
      <c r="D51" s="607"/>
      <c r="E51" s="363">
        <f>I.InputData!E51</f>
        <v>0</v>
      </c>
      <c r="F51" s="363">
        <f>I.InputData!F51</f>
        <v>0</v>
      </c>
      <c r="G51" s="363">
        <f>I.InputData!G51</f>
        <v>0</v>
      </c>
      <c r="H51" s="363">
        <f>I.InputData!H51</f>
        <v>0</v>
      </c>
      <c r="I51" s="363">
        <f>I.InputData!I51</f>
        <v>0</v>
      </c>
      <c r="J51" s="363">
        <f>I.InputData!J51</f>
        <v>0</v>
      </c>
      <c r="K51" s="363">
        <f>I.InputData!K51</f>
        <v>0</v>
      </c>
      <c r="L51" s="363">
        <f>I.InputData!L51</f>
        <v>0</v>
      </c>
      <c r="M51" s="363">
        <f>I.InputData!M51</f>
        <v>0</v>
      </c>
      <c r="N51" s="363">
        <f>I.InputData!N51</f>
        <v>0</v>
      </c>
      <c r="O51" s="364">
        <f>I.InputData!O51</f>
        <v>0</v>
      </c>
      <c r="P51" s="151"/>
      <c r="Q51" s="284"/>
      <c r="R51" s="286"/>
      <c r="S51" s="155"/>
      <c r="T51" s="155"/>
      <c r="U51" s="155"/>
      <c r="V51" s="155"/>
      <c r="W51" s="155"/>
      <c r="X51" s="155"/>
      <c r="Y51" s="155"/>
      <c r="Z51" s="155"/>
      <c r="AA51" s="155"/>
      <c r="AB51" s="538" t="s">
        <v>116</v>
      </c>
      <c r="AC51" s="209" t="s">
        <v>140</v>
      </c>
      <c r="AD51" s="210">
        <f>+AD40*$F17*(1+$F$20)^AD$39</f>
        <v>12000</v>
      </c>
      <c r="AE51" s="210">
        <f t="shared" ref="AE51:AN51" si="32">+AE40*$F17*(1+$F$20)^AE$39</f>
        <v>133416</v>
      </c>
      <c r="AF51" s="210">
        <f t="shared" si="32"/>
        <v>372171.88799999998</v>
      </c>
      <c r="AG51" s="210">
        <f t="shared" si="32"/>
        <v>621812.70518399996</v>
      </c>
      <c r="AH51" s="210">
        <f>+AH40*$F17*(1+$F$20)^AH$39</f>
        <v>960499.64095891209</v>
      </c>
      <c r="AI51" s="210">
        <f t="shared" si="32"/>
        <v>1411697.4559362815</v>
      </c>
      <c r="AJ51" s="210">
        <f t="shared" si="32"/>
        <v>2039205.4612637467</v>
      </c>
      <c r="AK51" s="210">
        <f t="shared" si="32"/>
        <v>2699044.2941476004</v>
      </c>
      <c r="AL51" s="210">
        <f t="shared" si="32"/>
        <v>3321317.4163491284</v>
      </c>
      <c r="AM51" s="210">
        <f t="shared" si="32"/>
        <v>3837730.4834992252</v>
      </c>
      <c r="AN51" s="211">
        <f t="shared" si="32"/>
        <v>4254433.235849143</v>
      </c>
      <c r="AO51" s="154"/>
      <c r="AP51" s="154"/>
      <c r="AQ51" s="154"/>
      <c r="AR51" s="154"/>
      <c r="AS51" s="154"/>
      <c r="AT51" s="150"/>
    </row>
    <row r="52" spans="1:46" x14ac:dyDescent="0.2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151"/>
      <c r="Q52" s="284"/>
      <c r="R52" s="286"/>
      <c r="S52" s="155"/>
      <c r="T52" s="155"/>
      <c r="U52" s="155"/>
      <c r="V52" s="155"/>
      <c r="W52" s="155"/>
      <c r="X52" s="155"/>
      <c r="Y52" s="155"/>
      <c r="Z52" s="155"/>
      <c r="AA52" s="155"/>
      <c r="AB52" s="539"/>
      <c r="AC52" s="212" t="s">
        <v>141</v>
      </c>
      <c r="AD52" s="213">
        <f>+AD41*$F18*(1+$F$20)^AD$39</f>
        <v>0</v>
      </c>
      <c r="AE52" s="213">
        <f t="shared" ref="AE52:AN52" si="33">+AE41*$F18*(1+$F$20)^AE$39</f>
        <v>0</v>
      </c>
      <c r="AF52" s="213">
        <f t="shared" si="33"/>
        <v>0</v>
      </c>
      <c r="AG52" s="213">
        <f t="shared" si="33"/>
        <v>0</v>
      </c>
      <c r="AH52" s="213">
        <f>+AH41*$F18*(1+$F$20)^AH$39</f>
        <v>0</v>
      </c>
      <c r="AI52" s="213">
        <f t="shared" si="33"/>
        <v>0</v>
      </c>
      <c r="AJ52" s="213">
        <f t="shared" si="33"/>
        <v>0</v>
      </c>
      <c r="AK52" s="213">
        <f t="shared" si="33"/>
        <v>0</v>
      </c>
      <c r="AL52" s="213">
        <f t="shared" si="33"/>
        <v>0</v>
      </c>
      <c r="AM52" s="213">
        <f t="shared" si="33"/>
        <v>0</v>
      </c>
      <c r="AN52" s="214">
        <f t="shared" si="33"/>
        <v>0</v>
      </c>
      <c r="AO52" s="154"/>
      <c r="AP52" s="154"/>
      <c r="AQ52" s="154"/>
      <c r="AR52" s="154"/>
      <c r="AS52" s="154"/>
      <c r="AT52" s="150"/>
    </row>
    <row r="53" spans="1:46" ht="12.75" customHeight="1" x14ac:dyDescent="0.2">
      <c r="A53" s="291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151"/>
      <c r="Q53" s="284"/>
      <c r="R53" s="286"/>
      <c r="S53" s="155"/>
      <c r="T53" s="155"/>
      <c r="U53" s="155"/>
      <c r="V53" s="155"/>
      <c r="W53" s="155"/>
      <c r="X53" s="155"/>
      <c r="Y53" s="155"/>
      <c r="Z53" s="155"/>
      <c r="AA53" s="155"/>
      <c r="AB53" s="539"/>
      <c r="AC53" s="212" t="s">
        <v>142</v>
      </c>
      <c r="AD53" s="213">
        <f t="shared" ref="AD53:AN53" si="34">+AD42*$F19*(1+$F$20)^AD$39</f>
        <v>0</v>
      </c>
      <c r="AE53" s="213">
        <f t="shared" si="34"/>
        <v>0</v>
      </c>
      <c r="AF53" s="213">
        <f t="shared" si="34"/>
        <v>0</v>
      </c>
      <c r="AG53" s="213">
        <f t="shared" si="34"/>
        <v>0</v>
      </c>
      <c r="AH53" s="213">
        <f>+AH42*$F19*(1+$F$20)^AH$39</f>
        <v>0</v>
      </c>
      <c r="AI53" s="213">
        <f t="shared" si="34"/>
        <v>0</v>
      </c>
      <c r="AJ53" s="213">
        <f t="shared" si="34"/>
        <v>0</v>
      </c>
      <c r="AK53" s="213">
        <f t="shared" si="34"/>
        <v>0</v>
      </c>
      <c r="AL53" s="213">
        <f t="shared" si="34"/>
        <v>0</v>
      </c>
      <c r="AM53" s="213">
        <f t="shared" si="34"/>
        <v>0</v>
      </c>
      <c r="AN53" s="214">
        <f t="shared" si="34"/>
        <v>0</v>
      </c>
      <c r="AO53" s="154"/>
      <c r="AP53" s="154"/>
      <c r="AQ53" s="154"/>
      <c r="AR53" s="154"/>
      <c r="AS53" s="154"/>
      <c r="AT53" s="150"/>
    </row>
    <row r="54" spans="1:46" ht="15" x14ac:dyDescent="0.25">
      <c r="A54" s="291"/>
      <c r="B54" s="291"/>
      <c r="C54" s="318" t="str">
        <f>I.InputData!C54</f>
        <v>Table 6. Financial Indicators</v>
      </c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151"/>
      <c r="Q54" s="284"/>
      <c r="R54" s="286"/>
      <c r="S54" s="155"/>
      <c r="T54" s="155"/>
      <c r="U54" s="155"/>
      <c r="V54" s="155"/>
      <c r="W54" s="155"/>
      <c r="X54" s="155"/>
      <c r="Y54" s="155"/>
      <c r="Z54" s="155"/>
      <c r="AA54" s="155"/>
      <c r="AB54" s="540"/>
      <c r="AC54" s="218" t="s">
        <v>6</v>
      </c>
      <c r="AD54" s="215">
        <f t="shared" ref="AD54:AN54" si="35">+SUM(AD51:AD53)</f>
        <v>12000</v>
      </c>
      <c r="AE54" s="215">
        <f t="shared" si="35"/>
        <v>133416</v>
      </c>
      <c r="AF54" s="215">
        <f t="shared" si="35"/>
        <v>372171.88799999998</v>
      </c>
      <c r="AG54" s="215">
        <f t="shared" si="35"/>
        <v>621812.70518399996</v>
      </c>
      <c r="AH54" s="215">
        <f t="shared" si="35"/>
        <v>960499.64095891209</v>
      </c>
      <c r="AI54" s="215">
        <f t="shared" si="35"/>
        <v>1411697.4559362815</v>
      </c>
      <c r="AJ54" s="215">
        <f t="shared" si="35"/>
        <v>2039205.4612637467</v>
      </c>
      <c r="AK54" s="215">
        <f t="shared" si="35"/>
        <v>2699044.2941476004</v>
      </c>
      <c r="AL54" s="215">
        <f t="shared" si="35"/>
        <v>3321317.4163491284</v>
      </c>
      <c r="AM54" s="215">
        <f t="shared" si="35"/>
        <v>3837730.4834992252</v>
      </c>
      <c r="AN54" s="216">
        <f t="shared" si="35"/>
        <v>4254433.235849143</v>
      </c>
      <c r="AO54" s="154"/>
      <c r="AP54" s="154"/>
      <c r="AQ54" s="154"/>
      <c r="AR54" s="154"/>
      <c r="AS54" s="154"/>
      <c r="AT54" s="150"/>
    </row>
    <row r="55" spans="1:46" x14ac:dyDescent="0.2">
      <c r="A55" s="291"/>
      <c r="B55" s="291"/>
      <c r="C55" s="368" t="str">
        <f>I.InputData!C55</f>
        <v xml:space="preserve">Cost of Capital (WACC)  </v>
      </c>
      <c r="D55" s="369">
        <f>I.InputData!D55</f>
        <v>0.1</v>
      </c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151"/>
      <c r="Q55" s="284"/>
      <c r="R55" s="286"/>
      <c r="S55" s="155"/>
      <c r="T55" s="155"/>
      <c r="U55" s="155"/>
      <c r="V55" s="155"/>
      <c r="W55" s="155"/>
      <c r="X55" s="155"/>
      <c r="Y55" s="155"/>
      <c r="Z55" s="155"/>
      <c r="AA55" s="155"/>
      <c r="AB55" s="538" t="s">
        <v>118</v>
      </c>
      <c r="AC55" s="209" t="s">
        <v>140</v>
      </c>
      <c r="AD55" s="210">
        <f t="shared" ref="AD55:AN55" si="36">+AD43+AD47+AD51</f>
        <v>31500</v>
      </c>
      <c r="AE55" s="210">
        <f t="shared" si="36"/>
        <v>332316</v>
      </c>
      <c r="AF55" s="210">
        <f t="shared" si="36"/>
        <v>777927.88800000004</v>
      </c>
      <c r="AG55" s="210">
        <f t="shared" si="36"/>
        <v>1077070.9371839999</v>
      </c>
      <c r="AH55" s="210">
        <f t="shared" si="36"/>
        <v>1593722.4545589122</v>
      </c>
      <c r="AI55" s="210">
        <f t="shared" si="36"/>
        <v>2272880.4824322816</v>
      </c>
      <c r="AJ55" s="210">
        <f t="shared" si="36"/>
        <v>3247014.6559243863</v>
      </c>
      <c r="AK55" s="210">
        <f t="shared" si="36"/>
        <v>4043006.525297258</v>
      </c>
      <c r="AL55" s="210">
        <f t="shared" si="36"/>
        <v>4692158.8921217788</v>
      </c>
      <c r="AM55" s="210">
        <f t="shared" si="36"/>
        <v>5119467.2633466534</v>
      </c>
      <c r="AN55" s="211">
        <f t="shared" si="36"/>
        <v>5442952.7953440314</v>
      </c>
      <c r="AO55" s="154"/>
      <c r="AP55" s="154"/>
      <c r="AQ55" s="154"/>
      <c r="AR55" s="154"/>
      <c r="AS55" s="154"/>
      <c r="AT55" s="150"/>
    </row>
    <row r="56" spans="1:46" x14ac:dyDescent="0.2">
      <c r="A56" s="291"/>
      <c r="B56" s="291"/>
      <c r="C56" s="368" t="str">
        <f>I.InputData!C56</f>
        <v xml:space="preserve">Corporate Tax Rate  </v>
      </c>
      <c r="D56" s="369">
        <f>I.InputData!D56</f>
        <v>0.2</v>
      </c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151"/>
      <c r="Q56" s="284"/>
      <c r="R56" s="286"/>
      <c r="S56" s="155"/>
      <c r="T56" s="155"/>
      <c r="U56" s="155"/>
      <c r="V56" s="155"/>
      <c r="W56" s="155"/>
      <c r="X56" s="155"/>
      <c r="Y56" s="155"/>
      <c r="Z56" s="155"/>
      <c r="AA56" s="155"/>
      <c r="AB56" s="539"/>
      <c r="AC56" s="212" t="s">
        <v>141</v>
      </c>
      <c r="AD56" s="213">
        <f t="shared" ref="AD56:AN56" si="37">+AD44+AD48+AD52</f>
        <v>0</v>
      </c>
      <c r="AE56" s="213">
        <f t="shared" si="37"/>
        <v>0</v>
      </c>
      <c r="AF56" s="213">
        <f t="shared" si="37"/>
        <v>0</v>
      </c>
      <c r="AG56" s="213">
        <f t="shared" si="37"/>
        <v>0</v>
      </c>
      <c r="AH56" s="213">
        <f t="shared" si="37"/>
        <v>0</v>
      </c>
      <c r="AI56" s="213">
        <f t="shared" si="37"/>
        <v>0</v>
      </c>
      <c r="AJ56" s="213">
        <f t="shared" si="37"/>
        <v>0</v>
      </c>
      <c r="AK56" s="213">
        <f t="shared" si="37"/>
        <v>0</v>
      </c>
      <c r="AL56" s="213">
        <f t="shared" si="37"/>
        <v>0</v>
      </c>
      <c r="AM56" s="213">
        <f t="shared" si="37"/>
        <v>0</v>
      </c>
      <c r="AN56" s="214">
        <f t="shared" si="37"/>
        <v>0</v>
      </c>
      <c r="AO56" s="154"/>
      <c r="AP56" s="154"/>
      <c r="AQ56" s="154"/>
      <c r="AR56" s="154"/>
      <c r="AS56" s="154"/>
      <c r="AT56" s="150"/>
    </row>
    <row r="57" spans="1:46" ht="12.75" customHeight="1" thickBot="1" x14ac:dyDescent="0.25">
      <c r="A57" s="370"/>
      <c r="B57" s="370"/>
      <c r="C57" s="371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2"/>
      <c r="Q57" s="284"/>
      <c r="R57" s="286"/>
      <c r="S57" s="155"/>
      <c r="T57" s="155"/>
      <c r="U57" s="155"/>
      <c r="V57" s="155"/>
      <c r="W57" s="155"/>
      <c r="X57" s="155"/>
      <c r="Y57" s="155"/>
      <c r="Z57" s="155"/>
      <c r="AA57" s="155"/>
      <c r="AB57" s="540"/>
      <c r="AC57" s="212" t="s">
        <v>142</v>
      </c>
      <c r="AD57" s="213">
        <f t="shared" ref="AD57:AN57" si="38">+AD45+AD49+AD53</f>
        <v>0</v>
      </c>
      <c r="AE57" s="213">
        <f t="shared" si="38"/>
        <v>0</v>
      </c>
      <c r="AF57" s="213">
        <f t="shared" si="38"/>
        <v>0</v>
      </c>
      <c r="AG57" s="213">
        <f t="shared" si="38"/>
        <v>0</v>
      </c>
      <c r="AH57" s="213">
        <f t="shared" si="38"/>
        <v>0</v>
      </c>
      <c r="AI57" s="213">
        <f t="shared" si="38"/>
        <v>0</v>
      </c>
      <c r="AJ57" s="213">
        <f t="shared" si="38"/>
        <v>0</v>
      </c>
      <c r="AK57" s="213">
        <f t="shared" si="38"/>
        <v>0</v>
      </c>
      <c r="AL57" s="213">
        <f t="shared" si="38"/>
        <v>0</v>
      </c>
      <c r="AM57" s="213">
        <f t="shared" si="38"/>
        <v>0</v>
      </c>
      <c r="AN57" s="214">
        <f t="shared" si="38"/>
        <v>0</v>
      </c>
      <c r="AO57" s="154"/>
      <c r="AP57" s="154"/>
      <c r="AQ57" s="154"/>
      <c r="AR57" s="154"/>
      <c r="AS57" s="154"/>
      <c r="AT57" s="150"/>
    </row>
    <row r="58" spans="1:46" ht="13.5" thickTop="1" x14ac:dyDescent="0.2">
      <c r="Q58" s="284"/>
      <c r="R58" s="286"/>
      <c r="S58" s="155"/>
      <c r="T58" s="155"/>
      <c r="U58" s="155"/>
      <c r="V58" s="155"/>
      <c r="W58" s="155"/>
      <c r="X58" s="155"/>
      <c r="Y58" s="155"/>
      <c r="Z58" s="155"/>
      <c r="AA58" s="155"/>
      <c r="AB58" s="219"/>
      <c r="AC58" s="220" t="s">
        <v>55</v>
      </c>
      <c r="AD58" s="221">
        <f t="shared" ref="AD58:AN58" si="39">+AD46+AD50+AD54</f>
        <v>31500</v>
      </c>
      <c r="AE58" s="221">
        <f t="shared" si="39"/>
        <v>332316</v>
      </c>
      <c r="AF58" s="221">
        <f t="shared" si="39"/>
        <v>777927.88800000004</v>
      </c>
      <c r="AG58" s="221">
        <f t="shared" si="39"/>
        <v>1077070.9371839999</v>
      </c>
      <c r="AH58" s="221">
        <f t="shared" si="39"/>
        <v>1593722.4545589122</v>
      </c>
      <c r="AI58" s="221">
        <f t="shared" si="39"/>
        <v>2272880.4824322816</v>
      </c>
      <c r="AJ58" s="221">
        <f t="shared" si="39"/>
        <v>3247014.6559243863</v>
      </c>
      <c r="AK58" s="221">
        <f t="shared" si="39"/>
        <v>4043006.525297258</v>
      </c>
      <c r="AL58" s="221">
        <f t="shared" si="39"/>
        <v>4692158.8921217788</v>
      </c>
      <c r="AM58" s="221">
        <f t="shared" si="39"/>
        <v>5119467.2633466534</v>
      </c>
      <c r="AN58" s="222">
        <f t="shared" si="39"/>
        <v>5442952.7953440314</v>
      </c>
      <c r="AO58" s="154"/>
      <c r="AP58" s="154"/>
      <c r="AQ58" s="154"/>
      <c r="AR58" s="154"/>
      <c r="AS58" s="154"/>
      <c r="AT58" s="150"/>
    </row>
    <row r="59" spans="1:46" x14ac:dyDescent="0.2">
      <c r="Q59" s="284"/>
      <c r="R59" s="286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7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0"/>
    </row>
    <row r="60" spans="1:46" ht="15" x14ac:dyDescent="0.25">
      <c r="Q60" s="284"/>
      <c r="R60" s="286"/>
      <c r="S60" s="285" t="s">
        <v>155</v>
      </c>
      <c r="T60" s="155"/>
      <c r="U60" s="155"/>
      <c r="V60" s="155"/>
      <c r="W60" s="155"/>
      <c r="X60" s="155"/>
      <c r="Y60" s="155"/>
      <c r="Z60" s="155"/>
      <c r="AA60" s="155"/>
      <c r="AB60" s="155"/>
      <c r="AC60" s="157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0"/>
    </row>
    <row r="61" spans="1:46" x14ac:dyDescent="0.2">
      <c r="Q61" s="284"/>
      <c r="R61" s="219"/>
      <c r="S61" s="219"/>
      <c r="T61" s="555" t="s">
        <v>54</v>
      </c>
      <c r="U61" s="555"/>
      <c r="V61" s="555"/>
      <c r="W61" s="555"/>
      <c r="X61" s="555"/>
      <c r="Y61" s="555"/>
      <c r="Z61" s="555"/>
      <c r="AA61" s="555"/>
      <c r="AB61" s="555"/>
      <c r="AC61" s="556"/>
      <c r="AD61" s="198">
        <f>+I.InputData!G11</f>
        <v>44927</v>
      </c>
      <c r="AE61" s="534" t="s">
        <v>38</v>
      </c>
      <c r="AF61" s="543"/>
      <c r="AG61" s="543"/>
      <c r="AH61" s="543"/>
      <c r="AI61" s="543"/>
      <c r="AJ61" s="543"/>
      <c r="AK61" s="543"/>
      <c r="AL61" s="543"/>
      <c r="AM61" s="543"/>
      <c r="AN61" s="544"/>
      <c r="AO61" s="154"/>
      <c r="AP61" s="154"/>
      <c r="AQ61" s="154"/>
      <c r="AR61" s="154"/>
      <c r="AS61" s="154"/>
      <c r="AT61" s="150"/>
    </row>
    <row r="62" spans="1:46" x14ac:dyDescent="0.2">
      <c r="Q62" s="284"/>
      <c r="R62" s="219"/>
      <c r="S62" s="219"/>
      <c r="T62" s="199">
        <v>-10</v>
      </c>
      <c r="U62" s="199">
        <v>-9</v>
      </c>
      <c r="V62" s="199">
        <v>-8</v>
      </c>
      <c r="W62" s="199">
        <v>-7</v>
      </c>
      <c r="X62" s="199">
        <v>-6</v>
      </c>
      <c r="Y62" s="199">
        <v>-5</v>
      </c>
      <c r="Z62" s="199">
        <v>-4</v>
      </c>
      <c r="AA62" s="199">
        <v>-3</v>
      </c>
      <c r="AB62" s="199">
        <v>-2</v>
      </c>
      <c r="AC62" s="200">
        <v>-1</v>
      </c>
      <c r="AD62" s="201">
        <v>0</v>
      </c>
      <c r="AE62" s="199">
        <v>1</v>
      </c>
      <c r="AF62" s="199">
        <v>2</v>
      </c>
      <c r="AG62" s="199">
        <v>3</v>
      </c>
      <c r="AH62" s="199">
        <v>4</v>
      </c>
      <c r="AI62" s="199">
        <v>5</v>
      </c>
      <c r="AJ62" s="199">
        <v>6</v>
      </c>
      <c r="AK62" s="199">
        <v>7</v>
      </c>
      <c r="AL62" s="199">
        <v>8</v>
      </c>
      <c r="AM62" s="199">
        <v>9</v>
      </c>
      <c r="AN62" s="199">
        <v>10</v>
      </c>
      <c r="AO62" s="154"/>
      <c r="AP62" s="154"/>
      <c r="AQ62" s="154"/>
      <c r="AR62" s="154"/>
      <c r="AS62" s="154"/>
      <c r="AT62" s="150"/>
    </row>
    <row r="63" spans="1:46" x14ac:dyDescent="0.2">
      <c r="Q63" s="284"/>
      <c r="R63" s="538" t="s">
        <v>56</v>
      </c>
      <c r="S63" s="223" t="s">
        <v>46</v>
      </c>
      <c r="T63" s="224">
        <f>T32*1000</f>
        <v>0</v>
      </c>
      <c r="U63" s="210">
        <f t="shared" ref="U63:AC63" si="40">U32*1000</f>
        <v>0</v>
      </c>
      <c r="V63" s="210">
        <f t="shared" si="40"/>
        <v>0</v>
      </c>
      <c r="W63" s="210">
        <f t="shared" si="40"/>
        <v>0</v>
      </c>
      <c r="X63" s="210">
        <f t="shared" si="40"/>
        <v>0</v>
      </c>
      <c r="Y63" s="210">
        <f t="shared" si="40"/>
        <v>0</v>
      </c>
      <c r="Z63" s="210">
        <f t="shared" si="40"/>
        <v>0</v>
      </c>
      <c r="AA63" s="210">
        <f t="shared" si="40"/>
        <v>500000</v>
      </c>
      <c r="AB63" s="210">
        <f t="shared" si="40"/>
        <v>0</v>
      </c>
      <c r="AC63" s="225">
        <f t="shared" si="40"/>
        <v>0</v>
      </c>
      <c r="AD63" s="456">
        <f t="shared" ref="AD63:AN63" si="41">AD32*1000</f>
        <v>0</v>
      </c>
      <c r="AE63" s="456">
        <f t="shared" si="41"/>
        <v>0</v>
      </c>
      <c r="AF63" s="456">
        <f t="shared" si="41"/>
        <v>0</v>
      </c>
      <c r="AG63" s="456">
        <f t="shared" si="41"/>
        <v>0</v>
      </c>
      <c r="AH63" s="456">
        <f t="shared" si="41"/>
        <v>0</v>
      </c>
      <c r="AI63" s="456">
        <f t="shared" si="41"/>
        <v>0</v>
      </c>
      <c r="AJ63" s="456">
        <f t="shared" si="41"/>
        <v>0</v>
      </c>
      <c r="AK63" s="456">
        <f t="shared" si="41"/>
        <v>0</v>
      </c>
      <c r="AL63" s="456">
        <f t="shared" si="41"/>
        <v>0</v>
      </c>
      <c r="AM63" s="456">
        <f t="shared" si="41"/>
        <v>0</v>
      </c>
      <c r="AN63" s="457">
        <f t="shared" si="41"/>
        <v>0</v>
      </c>
      <c r="AO63" s="154"/>
      <c r="AP63" s="154"/>
      <c r="AQ63" s="154"/>
      <c r="AR63" s="154"/>
      <c r="AS63" s="154"/>
      <c r="AT63" s="150"/>
    </row>
    <row r="64" spans="1:46" x14ac:dyDescent="0.2">
      <c r="B64" s="18"/>
      <c r="C64" s="22"/>
      <c r="D64" s="23"/>
      <c r="E64" s="23"/>
      <c r="F64" s="19"/>
      <c r="G64" s="19"/>
      <c r="H64" s="19"/>
      <c r="I64" s="19"/>
      <c r="J64" s="19"/>
      <c r="Q64" s="284"/>
      <c r="R64" s="539"/>
      <c r="S64" s="226" t="s">
        <v>47</v>
      </c>
      <c r="T64" s="227">
        <f t="shared" ref="T64:AN64" si="42">T33*1000</f>
        <v>0</v>
      </c>
      <c r="U64" s="213">
        <f t="shared" si="42"/>
        <v>0</v>
      </c>
      <c r="V64" s="213">
        <f t="shared" si="42"/>
        <v>0</v>
      </c>
      <c r="W64" s="213">
        <f t="shared" si="42"/>
        <v>0</v>
      </c>
      <c r="X64" s="213">
        <f t="shared" si="42"/>
        <v>0</v>
      </c>
      <c r="Y64" s="213">
        <f t="shared" si="42"/>
        <v>0</v>
      </c>
      <c r="Z64" s="213">
        <f t="shared" si="42"/>
        <v>0</v>
      </c>
      <c r="AA64" s="213">
        <f t="shared" si="42"/>
        <v>855813.95348837215</v>
      </c>
      <c r="AB64" s="213">
        <f t="shared" si="42"/>
        <v>144186.04651162788</v>
      </c>
      <c r="AC64" s="228">
        <f t="shared" si="42"/>
        <v>0</v>
      </c>
      <c r="AD64" s="458">
        <f t="shared" si="42"/>
        <v>0</v>
      </c>
      <c r="AE64" s="458">
        <f t="shared" si="42"/>
        <v>0</v>
      </c>
      <c r="AF64" s="458">
        <f t="shared" si="42"/>
        <v>0</v>
      </c>
      <c r="AG64" s="458">
        <f t="shared" si="42"/>
        <v>0</v>
      </c>
      <c r="AH64" s="458">
        <f t="shared" si="42"/>
        <v>0</v>
      </c>
      <c r="AI64" s="458">
        <f t="shared" si="42"/>
        <v>0</v>
      </c>
      <c r="AJ64" s="458">
        <f t="shared" si="42"/>
        <v>0</v>
      </c>
      <c r="AK64" s="458">
        <f t="shared" si="42"/>
        <v>0</v>
      </c>
      <c r="AL64" s="458">
        <f t="shared" si="42"/>
        <v>0</v>
      </c>
      <c r="AM64" s="458">
        <f t="shared" si="42"/>
        <v>0</v>
      </c>
      <c r="AN64" s="459">
        <f t="shared" si="42"/>
        <v>0</v>
      </c>
      <c r="AO64" s="154"/>
      <c r="AP64" s="154"/>
      <c r="AQ64" s="154"/>
      <c r="AR64" s="154"/>
      <c r="AS64" s="154"/>
      <c r="AT64" s="150"/>
    </row>
    <row r="65" spans="17:46" x14ac:dyDescent="0.2">
      <c r="Q65" s="284"/>
      <c r="R65" s="539"/>
      <c r="S65" s="226" t="s">
        <v>24</v>
      </c>
      <c r="T65" s="227">
        <f t="shared" ref="T65:AN65" si="43">T34*1000</f>
        <v>0</v>
      </c>
      <c r="U65" s="213">
        <f t="shared" si="43"/>
        <v>0</v>
      </c>
      <c r="V65" s="213">
        <f t="shared" si="43"/>
        <v>0</v>
      </c>
      <c r="W65" s="213">
        <f t="shared" si="43"/>
        <v>0</v>
      </c>
      <c r="X65" s="213">
        <f t="shared" si="43"/>
        <v>0</v>
      </c>
      <c r="Y65" s="213">
        <f t="shared" si="43"/>
        <v>0</v>
      </c>
      <c r="Z65" s="213">
        <f t="shared" si="43"/>
        <v>0</v>
      </c>
      <c r="AA65" s="213">
        <f t="shared" si="43"/>
        <v>0</v>
      </c>
      <c r="AB65" s="213">
        <f t="shared" si="43"/>
        <v>800000</v>
      </c>
      <c r="AC65" s="228">
        <f t="shared" si="43"/>
        <v>0</v>
      </c>
      <c r="AD65" s="458">
        <f t="shared" si="43"/>
        <v>0</v>
      </c>
      <c r="AE65" s="458">
        <f t="shared" si="43"/>
        <v>0</v>
      </c>
      <c r="AF65" s="458">
        <f t="shared" si="43"/>
        <v>0</v>
      </c>
      <c r="AG65" s="458">
        <f t="shared" si="43"/>
        <v>0</v>
      </c>
      <c r="AH65" s="458">
        <f t="shared" si="43"/>
        <v>0</v>
      </c>
      <c r="AI65" s="458">
        <f t="shared" si="43"/>
        <v>0</v>
      </c>
      <c r="AJ65" s="458">
        <f t="shared" si="43"/>
        <v>0</v>
      </c>
      <c r="AK65" s="458">
        <f t="shared" si="43"/>
        <v>0</v>
      </c>
      <c r="AL65" s="458">
        <f t="shared" si="43"/>
        <v>0</v>
      </c>
      <c r="AM65" s="458">
        <f t="shared" si="43"/>
        <v>0</v>
      </c>
      <c r="AN65" s="459">
        <f t="shared" si="43"/>
        <v>0</v>
      </c>
      <c r="AO65" s="154"/>
      <c r="AP65" s="154"/>
      <c r="AQ65" s="154"/>
      <c r="AR65" s="154"/>
      <c r="AS65" s="154"/>
      <c r="AT65" s="150"/>
    </row>
    <row r="66" spans="17:46" x14ac:dyDescent="0.2">
      <c r="Q66" s="284"/>
      <c r="R66" s="540"/>
      <c r="S66" s="229" t="s">
        <v>48</v>
      </c>
      <c r="T66" s="230">
        <f t="shared" ref="T66:AN66" si="44">T35*1000</f>
        <v>0</v>
      </c>
      <c r="U66" s="215">
        <f t="shared" si="44"/>
        <v>0</v>
      </c>
      <c r="V66" s="215">
        <f t="shared" si="44"/>
        <v>0</v>
      </c>
      <c r="W66" s="215">
        <f t="shared" si="44"/>
        <v>0</v>
      </c>
      <c r="X66" s="215">
        <f t="shared" si="44"/>
        <v>0</v>
      </c>
      <c r="Y66" s="215">
        <f t="shared" si="44"/>
        <v>0</v>
      </c>
      <c r="Z66" s="215">
        <f t="shared" si="44"/>
        <v>0</v>
      </c>
      <c r="AA66" s="215">
        <f t="shared" si="44"/>
        <v>0</v>
      </c>
      <c r="AB66" s="215">
        <f t="shared" si="44"/>
        <v>0</v>
      </c>
      <c r="AC66" s="231">
        <f t="shared" si="44"/>
        <v>600000</v>
      </c>
      <c r="AD66" s="460">
        <f t="shared" si="44"/>
        <v>0</v>
      </c>
      <c r="AE66" s="460">
        <f t="shared" si="44"/>
        <v>0</v>
      </c>
      <c r="AF66" s="460">
        <f t="shared" si="44"/>
        <v>0</v>
      </c>
      <c r="AG66" s="460">
        <f t="shared" si="44"/>
        <v>0</v>
      </c>
      <c r="AH66" s="460">
        <f t="shared" si="44"/>
        <v>0</v>
      </c>
      <c r="AI66" s="460">
        <f t="shared" si="44"/>
        <v>0</v>
      </c>
      <c r="AJ66" s="460">
        <f t="shared" si="44"/>
        <v>0</v>
      </c>
      <c r="AK66" s="460">
        <f t="shared" si="44"/>
        <v>0</v>
      </c>
      <c r="AL66" s="460">
        <f t="shared" si="44"/>
        <v>0</v>
      </c>
      <c r="AM66" s="460">
        <f t="shared" si="44"/>
        <v>0</v>
      </c>
      <c r="AN66" s="461">
        <f t="shared" si="44"/>
        <v>0</v>
      </c>
      <c r="AO66" s="154"/>
      <c r="AP66" s="154"/>
      <c r="AQ66" s="154"/>
      <c r="AR66" s="154"/>
      <c r="AS66" s="154"/>
      <c r="AT66" s="150"/>
    </row>
    <row r="67" spans="17:46" x14ac:dyDescent="0.2">
      <c r="Q67" s="284"/>
      <c r="R67" s="538" t="s">
        <v>57</v>
      </c>
      <c r="S67" s="223" t="s">
        <v>46</v>
      </c>
      <c r="T67" s="224">
        <f>+T63*$F7</f>
        <v>0</v>
      </c>
      <c r="U67" s="210">
        <f t="shared" ref="U67:AC67" si="45">+U63*$F7</f>
        <v>0</v>
      </c>
      <c r="V67" s="210">
        <f t="shared" si="45"/>
        <v>0</v>
      </c>
      <c r="W67" s="210">
        <f t="shared" si="45"/>
        <v>0</v>
      </c>
      <c r="X67" s="210">
        <f t="shared" si="45"/>
        <v>0</v>
      </c>
      <c r="Y67" s="210">
        <f t="shared" si="45"/>
        <v>0</v>
      </c>
      <c r="Z67" s="210">
        <f t="shared" si="45"/>
        <v>0</v>
      </c>
      <c r="AA67" s="210">
        <f t="shared" si="45"/>
        <v>250000</v>
      </c>
      <c r="AB67" s="210">
        <f t="shared" si="45"/>
        <v>0</v>
      </c>
      <c r="AC67" s="225">
        <f t="shared" si="45"/>
        <v>0</v>
      </c>
      <c r="AD67" s="456">
        <f t="shared" ref="AD67:AN67" si="46">+AD63*$F7</f>
        <v>0</v>
      </c>
      <c r="AE67" s="456">
        <f t="shared" si="46"/>
        <v>0</v>
      </c>
      <c r="AF67" s="456">
        <f t="shared" si="46"/>
        <v>0</v>
      </c>
      <c r="AG67" s="456">
        <f t="shared" si="46"/>
        <v>0</v>
      </c>
      <c r="AH67" s="456">
        <f t="shared" si="46"/>
        <v>0</v>
      </c>
      <c r="AI67" s="456">
        <f t="shared" si="46"/>
        <v>0</v>
      </c>
      <c r="AJ67" s="456">
        <f t="shared" si="46"/>
        <v>0</v>
      </c>
      <c r="AK67" s="456">
        <f t="shared" si="46"/>
        <v>0</v>
      </c>
      <c r="AL67" s="456">
        <f t="shared" si="46"/>
        <v>0</v>
      </c>
      <c r="AM67" s="456">
        <f t="shared" si="46"/>
        <v>0</v>
      </c>
      <c r="AN67" s="457">
        <f t="shared" si="46"/>
        <v>0</v>
      </c>
      <c r="AO67" s="154"/>
      <c r="AP67" s="154"/>
      <c r="AQ67" s="154"/>
      <c r="AR67" s="154"/>
      <c r="AS67" s="154"/>
      <c r="AT67" s="150"/>
    </row>
    <row r="68" spans="17:46" x14ac:dyDescent="0.2">
      <c r="Q68" s="284"/>
      <c r="R68" s="539"/>
      <c r="S68" s="226" t="s">
        <v>47</v>
      </c>
      <c r="T68" s="227">
        <f t="shared" ref="T68:AN68" si="47">+T64*$F8</f>
        <v>0</v>
      </c>
      <c r="U68" s="213">
        <f t="shared" si="47"/>
        <v>0</v>
      </c>
      <c r="V68" s="213">
        <f t="shared" si="47"/>
        <v>0</v>
      </c>
      <c r="W68" s="213">
        <f t="shared" si="47"/>
        <v>0</v>
      </c>
      <c r="X68" s="213">
        <f t="shared" si="47"/>
        <v>0</v>
      </c>
      <c r="Y68" s="213">
        <f t="shared" si="47"/>
        <v>0</v>
      </c>
      <c r="Z68" s="213">
        <f t="shared" si="47"/>
        <v>0</v>
      </c>
      <c r="AA68" s="213">
        <f t="shared" si="47"/>
        <v>641860.46511627908</v>
      </c>
      <c r="AB68" s="213">
        <f t="shared" si="47"/>
        <v>108139.53488372092</v>
      </c>
      <c r="AC68" s="228">
        <f t="shared" si="47"/>
        <v>0</v>
      </c>
      <c r="AD68" s="458">
        <f t="shared" si="47"/>
        <v>0</v>
      </c>
      <c r="AE68" s="458">
        <f t="shared" si="47"/>
        <v>0</v>
      </c>
      <c r="AF68" s="458">
        <f t="shared" si="47"/>
        <v>0</v>
      </c>
      <c r="AG68" s="458">
        <f t="shared" si="47"/>
        <v>0</v>
      </c>
      <c r="AH68" s="458">
        <f t="shared" si="47"/>
        <v>0</v>
      </c>
      <c r="AI68" s="458">
        <f t="shared" si="47"/>
        <v>0</v>
      </c>
      <c r="AJ68" s="458">
        <f t="shared" si="47"/>
        <v>0</v>
      </c>
      <c r="AK68" s="458">
        <f t="shared" si="47"/>
        <v>0</v>
      </c>
      <c r="AL68" s="458">
        <f t="shared" si="47"/>
        <v>0</v>
      </c>
      <c r="AM68" s="458">
        <f t="shared" si="47"/>
        <v>0</v>
      </c>
      <c r="AN68" s="459">
        <f t="shared" si="47"/>
        <v>0</v>
      </c>
      <c r="AO68" s="154"/>
      <c r="AP68" s="154"/>
      <c r="AQ68" s="154"/>
      <c r="AR68" s="154"/>
      <c r="AS68" s="154"/>
      <c r="AT68" s="150"/>
    </row>
    <row r="69" spans="17:46" x14ac:dyDescent="0.2">
      <c r="Q69" s="284"/>
      <c r="R69" s="539"/>
      <c r="S69" s="226" t="s">
        <v>24</v>
      </c>
      <c r="T69" s="227">
        <f t="shared" ref="T69:AN69" si="48">+T65*$F9</f>
        <v>0</v>
      </c>
      <c r="U69" s="213">
        <f t="shared" si="48"/>
        <v>0</v>
      </c>
      <c r="V69" s="213">
        <f t="shared" si="48"/>
        <v>0</v>
      </c>
      <c r="W69" s="213">
        <f t="shared" si="48"/>
        <v>0</v>
      </c>
      <c r="X69" s="213">
        <f t="shared" si="48"/>
        <v>0</v>
      </c>
      <c r="Y69" s="213">
        <f t="shared" si="48"/>
        <v>0</v>
      </c>
      <c r="Z69" s="213">
        <f t="shared" si="48"/>
        <v>0</v>
      </c>
      <c r="AA69" s="213">
        <f t="shared" si="48"/>
        <v>0</v>
      </c>
      <c r="AB69" s="213">
        <f t="shared" si="48"/>
        <v>400000</v>
      </c>
      <c r="AC69" s="228">
        <f t="shared" si="48"/>
        <v>0</v>
      </c>
      <c r="AD69" s="458">
        <f t="shared" si="48"/>
        <v>0</v>
      </c>
      <c r="AE69" s="458">
        <f t="shared" si="48"/>
        <v>0</v>
      </c>
      <c r="AF69" s="458">
        <f t="shared" si="48"/>
        <v>0</v>
      </c>
      <c r="AG69" s="458">
        <f t="shared" si="48"/>
        <v>0</v>
      </c>
      <c r="AH69" s="458">
        <f t="shared" si="48"/>
        <v>0</v>
      </c>
      <c r="AI69" s="458">
        <f t="shared" si="48"/>
        <v>0</v>
      </c>
      <c r="AJ69" s="458">
        <f t="shared" si="48"/>
        <v>0</v>
      </c>
      <c r="AK69" s="458">
        <f t="shared" si="48"/>
        <v>0</v>
      </c>
      <c r="AL69" s="458">
        <f t="shared" si="48"/>
        <v>0</v>
      </c>
      <c r="AM69" s="458">
        <f t="shared" si="48"/>
        <v>0</v>
      </c>
      <c r="AN69" s="459">
        <f t="shared" si="48"/>
        <v>0</v>
      </c>
      <c r="AO69" s="154"/>
      <c r="AP69" s="154"/>
      <c r="AQ69" s="154"/>
      <c r="AR69" s="154"/>
      <c r="AS69" s="154"/>
      <c r="AT69" s="150"/>
    </row>
    <row r="70" spans="17:46" x14ac:dyDescent="0.2">
      <c r="Q70" s="284"/>
      <c r="R70" s="540"/>
      <c r="S70" s="229" t="s">
        <v>48</v>
      </c>
      <c r="T70" s="230">
        <f t="shared" ref="T70:AN70" si="49">+T66*$F10</f>
        <v>0</v>
      </c>
      <c r="U70" s="215">
        <f t="shared" si="49"/>
        <v>0</v>
      </c>
      <c r="V70" s="215">
        <f t="shared" si="49"/>
        <v>0</v>
      </c>
      <c r="W70" s="215">
        <f t="shared" si="49"/>
        <v>0</v>
      </c>
      <c r="X70" s="215">
        <f t="shared" si="49"/>
        <v>0</v>
      </c>
      <c r="Y70" s="215">
        <f t="shared" si="49"/>
        <v>0</v>
      </c>
      <c r="Z70" s="215">
        <f t="shared" si="49"/>
        <v>0</v>
      </c>
      <c r="AA70" s="215">
        <f t="shared" si="49"/>
        <v>0</v>
      </c>
      <c r="AB70" s="215">
        <f t="shared" si="49"/>
        <v>0</v>
      </c>
      <c r="AC70" s="228">
        <f t="shared" si="49"/>
        <v>300000</v>
      </c>
      <c r="AD70" s="460">
        <f t="shared" si="49"/>
        <v>0</v>
      </c>
      <c r="AE70" s="460">
        <f t="shared" si="49"/>
        <v>0</v>
      </c>
      <c r="AF70" s="460">
        <f t="shared" si="49"/>
        <v>0</v>
      </c>
      <c r="AG70" s="460">
        <f t="shared" si="49"/>
        <v>0</v>
      </c>
      <c r="AH70" s="460">
        <f t="shared" si="49"/>
        <v>0</v>
      </c>
      <c r="AI70" s="460">
        <f t="shared" si="49"/>
        <v>0</v>
      </c>
      <c r="AJ70" s="460">
        <f t="shared" si="49"/>
        <v>0</v>
      </c>
      <c r="AK70" s="460">
        <f t="shared" si="49"/>
        <v>0</v>
      </c>
      <c r="AL70" s="460">
        <f t="shared" si="49"/>
        <v>0</v>
      </c>
      <c r="AM70" s="460">
        <f t="shared" si="49"/>
        <v>0</v>
      </c>
      <c r="AN70" s="461">
        <f t="shared" si="49"/>
        <v>0</v>
      </c>
      <c r="AO70" s="154"/>
      <c r="AP70" s="154"/>
      <c r="AQ70" s="154"/>
      <c r="AR70" s="154"/>
      <c r="AS70" s="154"/>
      <c r="AT70" s="150"/>
    </row>
    <row r="71" spans="17:46" x14ac:dyDescent="0.2">
      <c r="Q71" s="284"/>
      <c r="R71" s="553" t="s">
        <v>84</v>
      </c>
      <c r="S71" s="554"/>
      <c r="T71" s="232"/>
      <c r="U71" s="232"/>
      <c r="V71" s="232"/>
      <c r="W71" s="232"/>
      <c r="X71" s="232"/>
      <c r="Y71" s="232"/>
      <c r="Z71" s="232"/>
      <c r="AA71" s="232"/>
      <c r="AB71" s="232"/>
      <c r="AC71" s="233"/>
      <c r="AD71" s="234">
        <f t="shared" ref="AD71:AN71" si="50">+$G$17*(E27+E28+E29)*(1+$G$20)^AD62</f>
        <v>15000</v>
      </c>
      <c r="AE71" s="234">
        <f t="shared" si="50"/>
        <v>153000</v>
      </c>
      <c r="AF71" s="234">
        <f t="shared" si="50"/>
        <v>312120</v>
      </c>
      <c r="AG71" s="234">
        <f t="shared" si="50"/>
        <v>350198.63999999996</v>
      </c>
      <c r="AH71" s="234">
        <f t="shared" si="50"/>
        <v>487094.47200000001</v>
      </c>
      <c r="AI71" s="234">
        <f t="shared" si="50"/>
        <v>662448.48192000005</v>
      </c>
      <c r="AJ71" s="234">
        <f t="shared" si="50"/>
        <v>929083.99589280004</v>
      </c>
      <c r="AK71" s="234">
        <f t="shared" si="50"/>
        <v>1033817.1008843519</v>
      </c>
      <c r="AL71" s="234">
        <f t="shared" si="50"/>
        <v>1054493.442902039</v>
      </c>
      <c r="AM71" s="234">
        <f t="shared" si="50"/>
        <v>985951.3691134064</v>
      </c>
      <c r="AN71" s="373">
        <f t="shared" si="50"/>
        <v>914245.81499606778</v>
      </c>
      <c r="AO71" s="154"/>
      <c r="AP71" s="154"/>
      <c r="AQ71" s="154"/>
      <c r="AR71" s="154"/>
      <c r="AS71" s="154"/>
      <c r="AT71" s="150"/>
    </row>
    <row r="72" spans="17:46" x14ac:dyDescent="0.2">
      <c r="Q72" s="284"/>
      <c r="R72" s="550" t="s">
        <v>26</v>
      </c>
      <c r="S72" s="235" t="s">
        <v>58</v>
      </c>
      <c r="T72" s="236"/>
      <c r="U72" s="237"/>
      <c r="V72" s="237"/>
      <c r="W72" s="237"/>
      <c r="X72" s="237"/>
      <c r="Y72" s="237"/>
      <c r="Z72" s="237"/>
      <c r="AA72" s="237"/>
      <c r="AB72" s="237"/>
      <c r="AC72" s="238"/>
      <c r="AD72" s="210">
        <f t="shared" ref="AD72:AN77" si="51">E35</f>
        <v>50000</v>
      </c>
      <c r="AE72" s="210">
        <f t="shared" si="51"/>
        <v>50000</v>
      </c>
      <c r="AF72" s="210">
        <f t="shared" si="51"/>
        <v>50000</v>
      </c>
      <c r="AG72" s="210">
        <f t="shared" si="51"/>
        <v>60000</v>
      </c>
      <c r="AH72" s="210">
        <f t="shared" si="51"/>
        <v>60000</v>
      </c>
      <c r="AI72" s="210">
        <f t="shared" si="51"/>
        <v>60000</v>
      </c>
      <c r="AJ72" s="210">
        <f t="shared" si="51"/>
        <v>60000</v>
      </c>
      <c r="AK72" s="210">
        <f t="shared" si="51"/>
        <v>60000</v>
      </c>
      <c r="AL72" s="210">
        <f t="shared" si="51"/>
        <v>60000</v>
      </c>
      <c r="AM72" s="210">
        <f t="shared" si="51"/>
        <v>60000</v>
      </c>
      <c r="AN72" s="211">
        <f t="shared" si="51"/>
        <v>55000</v>
      </c>
      <c r="AO72" s="154"/>
      <c r="AP72" s="154"/>
      <c r="AQ72" s="154"/>
      <c r="AR72" s="154"/>
      <c r="AS72" s="154"/>
      <c r="AT72" s="150"/>
    </row>
    <row r="73" spans="17:46" x14ac:dyDescent="0.2">
      <c r="Q73" s="284"/>
      <c r="R73" s="551"/>
      <c r="S73" s="239" t="s">
        <v>7</v>
      </c>
      <c r="T73" s="240"/>
      <c r="U73" s="232"/>
      <c r="V73" s="232"/>
      <c r="W73" s="232"/>
      <c r="X73" s="232"/>
      <c r="Y73" s="232"/>
      <c r="Z73" s="232"/>
      <c r="AA73" s="232"/>
      <c r="AB73" s="232"/>
      <c r="AC73" s="241"/>
      <c r="AD73" s="213">
        <f t="shared" si="51"/>
        <v>35000</v>
      </c>
      <c r="AE73" s="213">
        <f t="shared" si="51"/>
        <v>35000</v>
      </c>
      <c r="AF73" s="213">
        <f t="shared" si="51"/>
        <v>35000</v>
      </c>
      <c r="AG73" s="213">
        <f t="shared" si="51"/>
        <v>35000</v>
      </c>
      <c r="AH73" s="213">
        <f t="shared" si="51"/>
        <v>35000</v>
      </c>
      <c r="AI73" s="213">
        <f t="shared" si="51"/>
        <v>35000</v>
      </c>
      <c r="AJ73" s="213">
        <f t="shared" si="51"/>
        <v>35000</v>
      </c>
      <c r="AK73" s="213">
        <f t="shared" si="51"/>
        <v>35000</v>
      </c>
      <c r="AL73" s="213">
        <f t="shared" si="51"/>
        <v>35000</v>
      </c>
      <c r="AM73" s="213">
        <f t="shared" si="51"/>
        <v>35000</v>
      </c>
      <c r="AN73" s="214">
        <f t="shared" si="51"/>
        <v>35000</v>
      </c>
      <c r="AO73" s="154"/>
      <c r="AP73" s="154"/>
      <c r="AQ73" s="154"/>
      <c r="AR73" s="154"/>
      <c r="AS73" s="154"/>
      <c r="AT73" s="150"/>
    </row>
    <row r="74" spans="17:46" x14ac:dyDescent="0.2">
      <c r="Q74" s="284"/>
      <c r="R74" s="551"/>
      <c r="S74" s="239" t="s">
        <v>59</v>
      </c>
      <c r="T74" s="240"/>
      <c r="U74" s="232"/>
      <c r="V74" s="232"/>
      <c r="W74" s="232"/>
      <c r="X74" s="232"/>
      <c r="Y74" s="232"/>
      <c r="Z74" s="232"/>
      <c r="AA74" s="232"/>
      <c r="AB74" s="232"/>
      <c r="AC74" s="241"/>
      <c r="AD74" s="213">
        <f t="shared" si="51"/>
        <v>25000</v>
      </c>
      <c r="AE74" s="213">
        <f t="shared" si="51"/>
        <v>25000</v>
      </c>
      <c r="AF74" s="213">
        <f t="shared" si="51"/>
        <v>25000</v>
      </c>
      <c r="AG74" s="213">
        <f t="shared" si="51"/>
        <v>30000</v>
      </c>
      <c r="AH74" s="213">
        <f t="shared" si="51"/>
        <v>30000</v>
      </c>
      <c r="AI74" s="213">
        <f t="shared" si="51"/>
        <v>30000</v>
      </c>
      <c r="AJ74" s="213">
        <f t="shared" si="51"/>
        <v>30000</v>
      </c>
      <c r="AK74" s="213">
        <f t="shared" si="51"/>
        <v>30000</v>
      </c>
      <c r="AL74" s="213">
        <f t="shared" si="51"/>
        <v>30000</v>
      </c>
      <c r="AM74" s="213">
        <f t="shared" si="51"/>
        <v>30000</v>
      </c>
      <c r="AN74" s="214">
        <f t="shared" si="51"/>
        <v>30000</v>
      </c>
      <c r="AO74" s="154"/>
      <c r="AP74" s="154"/>
      <c r="AQ74" s="154"/>
      <c r="AR74" s="154"/>
      <c r="AS74" s="154"/>
      <c r="AT74" s="150"/>
    </row>
    <row r="75" spans="17:46" x14ac:dyDescent="0.2">
      <c r="Q75" s="284"/>
      <c r="R75" s="551"/>
      <c r="S75" s="239" t="str">
        <f>+I.InputData!C38</f>
        <v>Other Facilities Cost N.1</v>
      </c>
      <c r="T75" s="240"/>
      <c r="U75" s="232"/>
      <c r="V75" s="232"/>
      <c r="W75" s="232"/>
      <c r="X75" s="232"/>
      <c r="Y75" s="232"/>
      <c r="Z75" s="232"/>
      <c r="AA75" s="232"/>
      <c r="AB75" s="232"/>
      <c r="AC75" s="241"/>
      <c r="AD75" s="213">
        <f t="shared" si="51"/>
        <v>0</v>
      </c>
      <c r="AE75" s="213">
        <f t="shared" si="51"/>
        <v>0</v>
      </c>
      <c r="AF75" s="213">
        <f t="shared" si="51"/>
        <v>0</v>
      </c>
      <c r="AG75" s="213">
        <f t="shared" si="51"/>
        <v>0</v>
      </c>
      <c r="AH75" s="213">
        <f t="shared" si="51"/>
        <v>0</v>
      </c>
      <c r="AI75" s="213">
        <f t="shared" si="51"/>
        <v>0</v>
      </c>
      <c r="AJ75" s="213">
        <f t="shared" si="51"/>
        <v>0</v>
      </c>
      <c r="AK75" s="213">
        <f t="shared" si="51"/>
        <v>0</v>
      </c>
      <c r="AL75" s="213">
        <f t="shared" si="51"/>
        <v>0</v>
      </c>
      <c r="AM75" s="213">
        <f t="shared" si="51"/>
        <v>0</v>
      </c>
      <c r="AN75" s="214">
        <f t="shared" si="51"/>
        <v>0</v>
      </c>
      <c r="AO75" s="154"/>
      <c r="AP75" s="154"/>
      <c r="AQ75" s="154"/>
      <c r="AR75" s="154"/>
      <c r="AS75" s="154"/>
      <c r="AT75" s="150"/>
    </row>
    <row r="76" spans="17:46" x14ac:dyDescent="0.2">
      <c r="Q76" s="284"/>
      <c r="R76" s="551"/>
      <c r="S76" s="239" t="str">
        <f>+I.InputData!C39</f>
        <v>Other Facilities Cost N.2</v>
      </c>
      <c r="T76" s="240"/>
      <c r="U76" s="232"/>
      <c r="V76" s="232"/>
      <c r="W76" s="232"/>
      <c r="X76" s="232"/>
      <c r="Y76" s="232"/>
      <c r="Z76" s="232"/>
      <c r="AA76" s="232"/>
      <c r="AB76" s="232"/>
      <c r="AC76" s="241"/>
      <c r="AD76" s="213">
        <f t="shared" si="51"/>
        <v>0</v>
      </c>
      <c r="AE76" s="213">
        <f t="shared" si="51"/>
        <v>0</v>
      </c>
      <c r="AF76" s="213">
        <f t="shared" si="51"/>
        <v>0</v>
      </c>
      <c r="AG76" s="213">
        <f t="shared" si="51"/>
        <v>0</v>
      </c>
      <c r="AH76" s="213">
        <f t="shared" si="51"/>
        <v>0</v>
      </c>
      <c r="AI76" s="213">
        <f t="shared" si="51"/>
        <v>0</v>
      </c>
      <c r="AJ76" s="213">
        <f t="shared" si="51"/>
        <v>0</v>
      </c>
      <c r="AK76" s="213">
        <f t="shared" si="51"/>
        <v>0</v>
      </c>
      <c r="AL76" s="213">
        <f t="shared" si="51"/>
        <v>0</v>
      </c>
      <c r="AM76" s="213">
        <f t="shared" si="51"/>
        <v>0</v>
      </c>
      <c r="AN76" s="214">
        <f t="shared" si="51"/>
        <v>0</v>
      </c>
      <c r="AO76" s="154"/>
      <c r="AP76" s="154"/>
      <c r="AQ76" s="154"/>
      <c r="AR76" s="154"/>
      <c r="AS76" s="154"/>
      <c r="AT76" s="150"/>
    </row>
    <row r="77" spans="17:46" x14ac:dyDescent="0.2">
      <c r="Q77" s="284"/>
      <c r="R77" s="552"/>
      <c r="S77" s="243" t="str">
        <f>+I.InputData!C40</f>
        <v>Other Facilities Cost N.3</v>
      </c>
      <c r="T77" s="240"/>
      <c r="U77" s="232"/>
      <c r="V77" s="232"/>
      <c r="W77" s="232"/>
      <c r="X77" s="232"/>
      <c r="Y77" s="232"/>
      <c r="Z77" s="232"/>
      <c r="AA77" s="232"/>
      <c r="AB77" s="232"/>
      <c r="AC77" s="241"/>
      <c r="AD77" s="213">
        <f t="shared" si="51"/>
        <v>0</v>
      </c>
      <c r="AE77" s="213">
        <f t="shared" si="51"/>
        <v>0</v>
      </c>
      <c r="AF77" s="213">
        <f t="shared" si="51"/>
        <v>0</v>
      </c>
      <c r="AG77" s="213">
        <f t="shared" si="51"/>
        <v>0</v>
      </c>
      <c r="AH77" s="213">
        <f t="shared" si="51"/>
        <v>0</v>
      </c>
      <c r="AI77" s="213">
        <f t="shared" si="51"/>
        <v>0</v>
      </c>
      <c r="AJ77" s="213">
        <f t="shared" si="51"/>
        <v>0</v>
      </c>
      <c r="AK77" s="213">
        <f t="shared" si="51"/>
        <v>0</v>
      </c>
      <c r="AL77" s="213">
        <f t="shared" si="51"/>
        <v>0</v>
      </c>
      <c r="AM77" s="213">
        <f t="shared" si="51"/>
        <v>0</v>
      </c>
      <c r="AN77" s="214">
        <f t="shared" si="51"/>
        <v>0</v>
      </c>
      <c r="AO77" s="154"/>
      <c r="AP77" s="154"/>
      <c r="AQ77" s="154"/>
      <c r="AR77" s="154"/>
      <c r="AS77" s="154"/>
      <c r="AT77" s="150"/>
    </row>
    <row r="78" spans="17:46" x14ac:dyDescent="0.2">
      <c r="Q78" s="284"/>
      <c r="R78" s="219"/>
      <c r="S78" s="235" t="str">
        <f>CONCATENATE(+I.InputData!C47," dep.",+I.InputData!$E$46,"y")</f>
        <v>Investment N.1 dep.5y</v>
      </c>
      <c r="T78" s="242"/>
      <c r="U78" s="237"/>
      <c r="V78" s="237"/>
      <c r="W78" s="237"/>
      <c r="X78" s="237"/>
      <c r="Y78" s="237"/>
      <c r="Z78" s="237"/>
      <c r="AA78" s="237"/>
      <c r="AB78" s="237"/>
      <c r="AC78" s="238"/>
      <c r="AD78" s="210">
        <f t="shared" ref="AD78:AN79" si="52">E47</f>
        <v>0</v>
      </c>
      <c r="AE78" s="210">
        <f t="shared" si="52"/>
        <v>0</v>
      </c>
      <c r="AF78" s="210">
        <f t="shared" si="52"/>
        <v>0</v>
      </c>
      <c r="AG78" s="210">
        <f t="shared" si="52"/>
        <v>0</v>
      </c>
      <c r="AH78" s="210">
        <f t="shared" si="52"/>
        <v>0</v>
      </c>
      <c r="AI78" s="210">
        <f t="shared" si="52"/>
        <v>0</v>
      </c>
      <c r="AJ78" s="210">
        <f t="shared" si="52"/>
        <v>0</v>
      </c>
      <c r="AK78" s="210">
        <f t="shared" si="52"/>
        <v>0</v>
      </c>
      <c r="AL78" s="210">
        <f t="shared" si="52"/>
        <v>0</v>
      </c>
      <c r="AM78" s="210">
        <f t="shared" si="52"/>
        <v>0</v>
      </c>
      <c r="AN78" s="211">
        <f t="shared" si="52"/>
        <v>0</v>
      </c>
      <c r="AO78" s="154"/>
      <c r="AP78" s="154"/>
      <c r="AQ78" s="154"/>
      <c r="AR78" s="154"/>
      <c r="AS78" s="154"/>
      <c r="AT78" s="150"/>
    </row>
    <row r="79" spans="17:46" x14ac:dyDescent="0.2">
      <c r="Q79" s="284"/>
      <c r="R79" s="219"/>
      <c r="S79" s="239" t="str">
        <f>CONCATENATE(+I.InputData!C48," dep.",+I.InputData!$E$46,"y")</f>
        <v>Investment N.2 dep.5y</v>
      </c>
      <c r="T79" s="240"/>
      <c r="U79" s="232"/>
      <c r="V79" s="232"/>
      <c r="W79" s="232"/>
      <c r="X79" s="232"/>
      <c r="Y79" s="232"/>
      <c r="Z79" s="232"/>
      <c r="AA79" s="232"/>
      <c r="AB79" s="232"/>
      <c r="AC79" s="241"/>
      <c r="AD79" s="213">
        <f t="shared" si="52"/>
        <v>0</v>
      </c>
      <c r="AE79" s="213">
        <f t="shared" si="52"/>
        <v>20000</v>
      </c>
      <c r="AF79" s="213">
        <f t="shared" si="52"/>
        <v>0</v>
      </c>
      <c r="AG79" s="213">
        <f t="shared" si="52"/>
        <v>0</v>
      </c>
      <c r="AH79" s="213">
        <f t="shared" si="52"/>
        <v>0</v>
      </c>
      <c r="AI79" s="213">
        <f t="shared" si="52"/>
        <v>0</v>
      </c>
      <c r="AJ79" s="213">
        <f t="shared" si="52"/>
        <v>0</v>
      </c>
      <c r="AK79" s="213">
        <f t="shared" si="52"/>
        <v>0</v>
      </c>
      <c r="AL79" s="213">
        <f t="shared" si="52"/>
        <v>0</v>
      </c>
      <c r="AM79" s="213">
        <f t="shared" si="52"/>
        <v>0</v>
      </c>
      <c r="AN79" s="214">
        <f t="shared" si="52"/>
        <v>0</v>
      </c>
      <c r="AO79" s="154"/>
      <c r="AP79" s="154"/>
      <c r="AQ79" s="154"/>
      <c r="AR79" s="154"/>
      <c r="AS79" s="154"/>
      <c r="AT79" s="150"/>
    </row>
    <row r="80" spans="17:46" x14ac:dyDescent="0.2">
      <c r="Q80" s="284"/>
      <c r="R80" s="219"/>
      <c r="S80" s="243" t="str">
        <f>CONCATENATE("Total investment ",+I.InputData!$E$46,"y")</f>
        <v>Total investment 5y</v>
      </c>
      <c r="T80" s="244"/>
      <c r="U80" s="245"/>
      <c r="V80" s="245"/>
      <c r="W80" s="245"/>
      <c r="X80" s="245"/>
      <c r="Y80" s="245"/>
      <c r="Z80" s="245"/>
      <c r="AA80" s="245"/>
      <c r="AB80" s="245"/>
      <c r="AC80" s="246"/>
      <c r="AD80" s="215">
        <f t="shared" ref="AD80:AN80" si="53">+SUM(AD78:AD79)</f>
        <v>0</v>
      </c>
      <c r="AE80" s="215">
        <f t="shared" si="53"/>
        <v>20000</v>
      </c>
      <c r="AF80" s="215">
        <f t="shared" si="53"/>
        <v>0</v>
      </c>
      <c r="AG80" s="215">
        <f t="shared" si="53"/>
        <v>0</v>
      </c>
      <c r="AH80" s="215">
        <f t="shared" si="53"/>
        <v>0</v>
      </c>
      <c r="AI80" s="215">
        <f t="shared" si="53"/>
        <v>0</v>
      </c>
      <c r="AJ80" s="215">
        <f t="shared" si="53"/>
        <v>0</v>
      </c>
      <c r="AK80" s="215">
        <f t="shared" si="53"/>
        <v>0</v>
      </c>
      <c r="AL80" s="215">
        <f t="shared" si="53"/>
        <v>0</v>
      </c>
      <c r="AM80" s="215">
        <f t="shared" si="53"/>
        <v>0</v>
      </c>
      <c r="AN80" s="216">
        <f t="shared" si="53"/>
        <v>0</v>
      </c>
      <c r="AO80" s="154"/>
      <c r="AP80" s="154"/>
      <c r="AQ80" s="154"/>
      <c r="AR80" s="154"/>
      <c r="AS80" s="154"/>
      <c r="AT80" s="150"/>
    </row>
    <row r="81" spans="17:46" x14ac:dyDescent="0.2">
      <c r="Q81" s="284"/>
      <c r="R81" s="219"/>
      <c r="S81" s="235" t="str">
        <f>CONCATENATE(+I.InputData!C50," dep.",+I.InputData!$E$49,"y")</f>
        <v>Investment N.3 dep.7y</v>
      </c>
      <c r="T81" s="236"/>
      <c r="U81" s="237"/>
      <c r="V81" s="237"/>
      <c r="W81" s="237"/>
      <c r="X81" s="237"/>
      <c r="Y81" s="237"/>
      <c r="Z81" s="237"/>
      <c r="AA81" s="237"/>
      <c r="AB81" s="237"/>
      <c r="AC81" s="238"/>
      <c r="AD81" s="210">
        <f t="shared" ref="AD81:AN82" si="54">E50</f>
        <v>5000</v>
      </c>
      <c r="AE81" s="210">
        <f t="shared" si="54"/>
        <v>0</v>
      </c>
      <c r="AF81" s="210">
        <f t="shared" si="54"/>
        <v>0</v>
      </c>
      <c r="AG81" s="210">
        <f t="shared" si="54"/>
        <v>0</v>
      </c>
      <c r="AH81" s="210">
        <f t="shared" si="54"/>
        <v>0</v>
      </c>
      <c r="AI81" s="210">
        <f t="shared" si="54"/>
        <v>0</v>
      </c>
      <c r="AJ81" s="210">
        <f t="shared" si="54"/>
        <v>0</v>
      </c>
      <c r="AK81" s="210">
        <f t="shared" si="54"/>
        <v>0</v>
      </c>
      <c r="AL81" s="210">
        <f t="shared" si="54"/>
        <v>0</v>
      </c>
      <c r="AM81" s="210">
        <f t="shared" si="54"/>
        <v>0</v>
      </c>
      <c r="AN81" s="211">
        <f t="shared" si="54"/>
        <v>0</v>
      </c>
      <c r="AO81" s="154"/>
      <c r="AP81" s="154"/>
      <c r="AQ81" s="154"/>
      <c r="AR81" s="154"/>
      <c r="AS81" s="154"/>
      <c r="AT81" s="150"/>
    </row>
    <row r="82" spans="17:46" x14ac:dyDescent="0.2">
      <c r="Q82" s="284"/>
      <c r="R82" s="219"/>
      <c r="S82" s="239" t="str">
        <f>CONCATENATE(+I.InputData!C51," dep.",+I.InputData!$E$49,"y")</f>
        <v>Investment N.4 dep.7y</v>
      </c>
      <c r="T82" s="240"/>
      <c r="U82" s="232"/>
      <c r="V82" s="232"/>
      <c r="W82" s="232"/>
      <c r="X82" s="232"/>
      <c r="Y82" s="232"/>
      <c r="Z82" s="232"/>
      <c r="AA82" s="232"/>
      <c r="AB82" s="232"/>
      <c r="AC82" s="241"/>
      <c r="AD82" s="213">
        <f t="shared" si="54"/>
        <v>0</v>
      </c>
      <c r="AE82" s="213">
        <f t="shared" si="54"/>
        <v>0</v>
      </c>
      <c r="AF82" s="213">
        <f t="shared" si="54"/>
        <v>0</v>
      </c>
      <c r="AG82" s="213">
        <f t="shared" si="54"/>
        <v>0</v>
      </c>
      <c r="AH82" s="213">
        <f t="shared" si="54"/>
        <v>0</v>
      </c>
      <c r="AI82" s="213">
        <f t="shared" si="54"/>
        <v>0</v>
      </c>
      <c r="AJ82" s="213">
        <f t="shared" si="54"/>
        <v>0</v>
      </c>
      <c r="AK82" s="213">
        <f t="shared" si="54"/>
        <v>0</v>
      </c>
      <c r="AL82" s="213">
        <f t="shared" si="54"/>
        <v>0</v>
      </c>
      <c r="AM82" s="213">
        <f t="shared" si="54"/>
        <v>0</v>
      </c>
      <c r="AN82" s="214">
        <f t="shared" si="54"/>
        <v>0</v>
      </c>
      <c r="AO82" s="154"/>
      <c r="AP82" s="154"/>
      <c r="AQ82" s="154"/>
      <c r="AR82" s="154"/>
      <c r="AS82" s="154"/>
      <c r="AT82" s="150"/>
    </row>
    <row r="83" spans="17:46" x14ac:dyDescent="0.2">
      <c r="Q83" s="284"/>
      <c r="R83" s="219"/>
      <c r="S83" s="243" t="str">
        <f>CONCATENATE("Total investment ",+I.InputData!$E$49,"y")</f>
        <v>Total investment 7y</v>
      </c>
      <c r="T83" s="244"/>
      <c r="U83" s="245"/>
      <c r="V83" s="245"/>
      <c r="W83" s="245"/>
      <c r="X83" s="245"/>
      <c r="Y83" s="245"/>
      <c r="Z83" s="245"/>
      <c r="AA83" s="245"/>
      <c r="AB83" s="245"/>
      <c r="AC83" s="246"/>
      <c r="AD83" s="215">
        <f t="shared" ref="AD83:AN83" si="55">+SUM(AD81:AD82)</f>
        <v>5000</v>
      </c>
      <c r="AE83" s="215">
        <f t="shared" si="55"/>
        <v>0</v>
      </c>
      <c r="AF83" s="215">
        <f t="shared" si="55"/>
        <v>0</v>
      </c>
      <c r="AG83" s="215">
        <f t="shared" si="55"/>
        <v>0</v>
      </c>
      <c r="AH83" s="215">
        <f t="shared" si="55"/>
        <v>0</v>
      </c>
      <c r="AI83" s="215">
        <f t="shared" si="55"/>
        <v>0</v>
      </c>
      <c r="AJ83" s="215">
        <f t="shared" si="55"/>
        <v>0</v>
      </c>
      <c r="AK83" s="215">
        <f t="shared" si="55"/>
        <v>0</v>
      </c>
      <c r="AL83" s="215">
        <f t="shared" si="55"/>
        <v>0</v>
      </c>
      <c r="AM83" s="215">
        <f t="shared" si="55"/>
        <v>0</v>
      </c>
      <c r="AN83" s="216">
        <f t="shared" si="55"/>
        <v>0</v>
      </c>
      <c r="AO83" s="154"/>
      <c r="AP83" s="154"/>
      <c r="AQ83" s="154"/>
      <c r="AR83" s="154"/>
      <c r="AS83" s="154"/>
      <c r="AT83" s="150"/>
    </row>
    <row r="84" spans="17:46" x14ac:dyDescent="0.2">
      <c r="Q84" s="284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7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0"/>
    </row>
    <row r="85" spans="17:46" ht="15" x14ac:dyDescent="0.25">
      <c r="Q85" s="284"/>
      <c r="R85" s="155"/>
      <c r="S85" s="155"/>
      <c r="T85" s="155"/>
      <c r="U85" s="155"/>
      <c r="V85" s="155"/>
      <c r="W85" s="155"/>
      <c r="X85" s="155"/>
      <c r="Y85" s="155"/>
      <c r="Z85" s="160" t="s">
        <v>156</v>
      </c>
      <c r="AA85" s="155"/>
      <c r="AB85" s="155"/>
      <c r="AC85" s="157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0"/>
    </row>
    <row r="86" spans="17:46" x14ac:dyDescent="0.2">
      <c r="Q86" s="284"/>
      <c r="R86" s="155"/>
      <c r="S86" s="155"/>
      <c r="T86" s="155"/>
      <c r="U86" s="155"/>
      <c r="V86" s="155"/>
      <c r="W86" s="155"/>
      <c r="X86" s="155"/>
      <c r="Y86" s="155"/>
      <c r="Z86" s="217"/>
      <c r="AA86" s="217"/>
      <c r="AB86" s="247" t="s">
        <v>8</v>
      </c>
      <c r="AC86" s="248" t="s">
        <v>11</v>
      </c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150"/>
    </row>
    <row r="87" spans="17:46" x14ac:dyDescent="0.2">
      <c r="Q87" s="284"/>
      <c r="R87" s="155"/>
      <c r="S87" s="155"/>
      <c r="T87" s="155"/>
      <c r="U87" s="155"/>
      <c r="V87" s="155"/>
      <c r="W87" s="155"/>
      <c r="X87" s="155"/>
      <c r="Y87" s="155"/>
      <c r="Z87" s="217"/>
      <c r="AA87" s="250"/>
      <c r="AB87" s="251">
        <f>E46</f>
        <v>5</v>
      </c>
      <c r="AC87" s="252">
        <f>1/AB87</f>
        <v>0.2</v>
      </c>
      <c r="AD87" s="205">
        <f>+I.InputData!G11</f>
        <v>44927</v>
      </c>
      <c r="AE87" s="541" t="s">
        <v>38</v>
      </c>
      <c r="AF87" s="541"/>
      <c r="AG87" s="541"/>
      <c r="AH87" s="541"/>
      <c r="AI87" s="541"/>
      <c r="AJ87" s="541"/>
      <c r="AK87" s="541"/>
      <c r="AL87" s="541"/>
      <c r="AM87" s="541"/>
      <c r="AN87" s="542"/>
      <c r="AO87" s="253"/>
      <c r="AP87" s="253"/>
      <c r="AQ87" s="253"/>
      <c r="AR87" s="253"/>
      <c r="AS87" s="254"/>
      <c r="AT87" s="150"/>
    </row>
    <row r="88" spans="17:46" x14ac:dyDescent="0.2">
      <c r="Q88" s="284"/>
      <c r="R88" s="155"/>
      <c r="S88" s="155"/>
      <c r="T88" s="155"/>
      <c r="U88" s="155"/>
      <c r="V88" s="155"/>
      <c r="W88" s="155"/>
      <c r="X88" s="155"/>
      <c r="Y88" s="155"/>
      <c r="Z88" s="255"/>
      <c r="AA88" s="255"/>
      <c r="AB88" s="256"/>
      <c r="AC88" s="257"/>
      <c r="AD88" s="258">
        <v>0</v>
      </c>
      <c r="AE88" s="259">
        <v>1</v>
      </c>
      <c r="AF88" s="259">
        <v>2</v>
      </c>
      <c r="AG88" s="259">
        <v>3</v>
      </c>
      <c r="AH88" s="259">
        <v>4</v>
      </c>
      <c r="AI88" s="259">
        <v>5</v>
      </c>
      <c r="AJ88" s="259">
        <v>6</v>
      </c>
      <c r="AK88" s="259">
        <v>7</v>
      </c>
      <c r="AL88" s="259">
        <v>8</v>
      </c>
      <c r="AM88" s="259">
        <v>9</v>
      </c>
      <c r="AN88" s="259">
        <v>10</v>
      </c>
      <c r="AO88" s="260">
        <f>+AN88+1</f>
        <v>11</v>
      </c>
      <c r="AP88" s="260">
        <f>+AO88+1</f>
        <v>12</v>
      </c>
      <c r="AQ88" s="260">
        <f>+AP88+1</f>
        <v>13</v>
      </c>
      <c r="AR88" s="260">
        <f>+AQ88+1</f>
        <v>14</v>
      </c>
      <c r="AS88" s="260">
        <f>+AR88+1</f>
        <v>15</v>
      </c>
      <c r="AT88" s="150"/>
    </row>
    <row r="89" spans="17:46" x14ac:dyDescent="0.2">
      <c r="Q89" s="284"/>
      <c r="R89" s="155"/>
      <c r="S89" s="155"/>
      <c r="T89" s="155"/>
      <c r="U89" s="155"/>
      <c r="V89" s="155"/>
      <c r="W89" s="155"/>
      <c r="X89" s="155"/>
      <c r="Y89" s="155"/>
      <c r="Z89" s="217"/>
      <c r="AA89" s="261" t="str">
        <f>+SUPPORT!S80</f>
        <v>Total investment 5y</v>
      </c>
      <c r="AB89" s="262"/>
      <c r="AC89" s="263"/>
      <c r="AD89" s="264">
        <f t="shared" ref="AD89:AS89" si="56">+AD80</f>
        <v>0</v>
      </c>
      <c r="AE89" s="264">
        <f t="shared" si="56"/>
        <v>20000</v>
      </c>
      <c r="AF89" s="264">
        <f t="shared" si="56"/>
        <v>0</v>
      </c>
      <c r="AG89" s="264">
        <f t="shared" si="56"/>
        <v>0</v>
      </c>
      <c r="AH89" s="264">
        <f t="shared" si="56"/>
        <v>0</v>
      </c>
      <c r="AI89" s="264">
        <f t="shared" si="56"/>
        <v>0</v>
      </c>
      <c r="AJ89" s="264">
        <f t="shared" si="56"/>
        <v>0</v>
      </c>
      <c r="AK89" s="264">
        <f t="shared" si="56"/>
        <v>0</v>
      </c>
      <c r="AL89" s="264">
        <f t="shared" si="56"/>
        <v>0</v>
      </c>
      <c r="AM89" s="264">
        <f t="shared" si="56"/>
        <v>0</v>
      </c>
      <c r="AN89" s="264">
        <f t="shared" si="56"/>
        <v>0</v>
      </c>
      <c r="AO89" s="264">
        <f t="shared" si="56"/>
        <v>0</v>
      </c>
      <c r="AP89" s="264">
        <f t="shared" si="56"/>
        <v>0</v>
      </c>
      <c r="AQ89" s="264">
        <f t="shared" si="56"/>
        <v>0</v>
      </c>
      <c r="AR89" s="264">
        <f t="shared" si="56"/>
        <v>0</v>
      </c>
      <c r="AS89" s="264">
        <f t="shared" si="56"/>
        <v>0</v>
      </c>
      <c r="AT89" s="150"/>
    </row>
    <row r="90" spans="17:46" ht="13.5" thickBot="1" x14ac:dyDescent="0.25">
      <c r="Q90" s="284"/>
      <c r="R90" s="155"/>
      <c r="S90" s="155"/>
      <c r="T90" s="155"/>
      <c r="U90" s="155"/>
      <c r="V90" s="155"/>
      <c r="W90" s="155"/>
      <c r="X90" s="155"/>
      <c r="Y90" s="155"/>
      <c r="Z90" s="265"/>
      <c r="AA90" s="265" t="s">
        <v>17</v>
      </c>
      <c r="AB90" s="265"/>
      <c r="AC90" s="266"/>
      <c r="AD90" s="267">
        <f>+AD89</f>
        <v>0</v>
      </c>
      <c r="AE90" s="268">
        <f>+AE89+AD90</f>
        <v>20000</v>
      </c>
      <c r="AF90" s="268">
        <f t="shared" ref="AF90:AS90" si="57">+AE90+AF89</f>
        <v>20000</v>
      </c>
      <c r="AG90" s="268">
        <f t="shared" si="57"/>
        <v>20000</v>
      </c>
      <c r="AH90" s="268">
        <f t="shared" si="57"/>
        <v>20000</v>
      </c>
      <c r="AI90" s="268">
        <f t="shared" si="57"/>
        <v>20000</v>
      </c>
      <c r="AJ90" s="268">
        <f t="shared" si="57"/>
        <v>20000</v>
      </c>
      <c r="AK90" s="268">
        <f t="shared" si="57"/>
        <v>20000</v>
      </c>
      <c r="AL90" s="268">
        <f t="shared" si="57"/>
        <v>20000</v>
      </c>
      <c r="AM90" s="268">
        <f t="shared" si="57"/>
        <v>20000</v>
      </c>
      <c r="AN90" s="268">
        <f t="shared" si="57"/>
        <v>20000</v>
      </c>
      <c r="AO90" s="268">
        <f t="shared" si="57"/>
        <v>20000</v>
      </c>
      <c r="AP90" s="268">
        <f t="shared" si="57"/>
        <v>20000</v>
      </c>
      <c r="AQ90" s="268">
        <f t="shared" si="57"/>
        <v>20000</v>
      </c>
      <c r="AR90" s="268">
        <f t="shared" si="57"/>
        <v>20000</v>
      </c>
      <c r="AS90" s="268">
        <f t="shared" si="57"/>
        <v>20000</v>
      </c>
      <c r="AT90" s="150"/>
    </row>
    <row r="91" spans="17:46" ht="13.5" thickTop="1" x14ac:dyDescent="0.2">
      <c r="Q91" s="284"/>
      <c r="R91" s="155"/>
      <c r="S91" s="155"/>
      <c r="T91" s="155"/>
      <c r="U91" s="155"/>
      <c r="V91" s="155"/>
      <c r="W91" s="155"/>
      <c r="X91" s="155"/>
      <c r="Y91" s="155"/>
      <c r="Z91" s="217"/>
      <c r="AA91" s="269"/>
      <c r="AB91" s="270">
        <f>+AD88</f>
        <v>0</v>
      </c>
      <c r="AC91" s="271">
        <f>+AD89</f>
        <v>0</v>
      </c>
      <c r="AD91" s="264">
        <f>IF(AD$88=$AB91,$AC91/$AB$87,IF(AD$88&gt;=$AB91+$AB$87,0,IF(AD$88&lt;$AB91,0,$AC91/$AB$87)))</f>
        <v>0</v>
      </c>
      <c r="AE91" s="264">
        <f t="shared" ref="AD91:AS100" si="58">IF(AE$88=$AB91,$AC91/$AB$87,IF(AE$88&gt;=$AB91+$AB$87,0,IF(AE$88&lt;$AB91,0,$AC91/$AB$87)))</f>
        <v>0</v>
      </c>
      <c r="AF91" s="264">
        <f t="shared" si="58"/>
        <v>0</v>
      </c>
      <c r="AG91" s="264">
        <f t="shared" si="58"/>
        <v>0</v>
      </c>
      <c r="AH91" s="264">
        <f t="shared" si="58"/>
        <v>0</v>
      </c>
      <c r="AI91" s="264">
        <f t="shared" si="58"/>
        <v>0</v>
      </c>
      <c r="AJ91" s="264">
        <f t="shared" si="58"/>
        <v>0</v>
      </c>
      <c r="AK91" s="264">
        <f t="shared" si="58"/>
        <v>0</v>
      </c>
      <c r="AL91" s="264">
        <f t="shared" si="58"/>
        <v>0</v>
      </c>
      <c r="AM91" s="264">
        <f t="shared" si="58"/>
        <v>0</v>
      </c>
      <c r="AN91" s="264">
        <f t="shared" si="58"/>
        <v>0</v>
      </c>
      <c r="AO91" s="264">
        <f t="shared" si="58"/>
        <v>0</v>
      </c>
      <c r="AP91" s="264">
        <f t="shared" si="58"/>
        <v>0</v>
      </c>
      <c r="AQ91" s="264">
        <f t="shared" si="58"/>
        <v>0</v>
      </c>
      <c r="AR91" s="264">
        <f t="shared" si="58"/>
        <v>0</v>
      </c>
      <c r="AS91" s="264">
        <f t="shared" si="58"/>
        <v>0</v>
      </c>
      <c r="AT91" s="150"/>
    </row>
    <row r="92" spans="17:46" x14ac:dyDescent="0.2">
      <c r="Q92" s="284"/>
      <c r="R92" s="155"/>
      <c r="S92" s="155"/>
      <c r="T92" s="155"/>
      <c r="U92" s="155"/>
      <c r="V92" s="155"/>
      <c r="W92" s="155"/>
      <c r="X92" s="155"/>
      <c r="Y92" s="155"/>
      <c r="Z92" s="217"/>
      <c r="AA92" s="272"/>
      <c r="AB92" s="270">
        <f>+AE88</f>
        <v>1</v>
      </c>
      <c r="AC92" s="271">
        <f>+AE89</f>
        <v>20000</v>
      </c>
      <c r="AD92" s="264">
        <f t="shared" si="58"/>
        <v>0</v>
      </c>
      <c r="AE92" s="264">
        <f t="shared" si="58"/>
        <v>4000</v>
      </c>
      <c r="AF92" s="264">
        <f t="shared" si="58"/>
        <v>4000</v>
      </c>
      <c r="AG92" s="264">
        <f t="shared" si="58"/>
        <v>4000</v>
      </c>
      <c r="AH92" s="264">
        <f t="shared" si="58"/>
        <v>4000</v>
      </c>
      <c r="AI92" s="264">
        <f t="shared" si="58"/>
        <v>4000</v>
      </c>
      <c r="AJ92" s="264">
        <f t="shared" si="58"/>
        <v>0</v>
      </c>
      <c r="AK92" s="264">
        <f t="shared" si="58"/>
        <v>0</v>
      </c>
      <c r="AL92" s="264">
        <f t="shared" si="58"/>
        <v>0</v>
      </c>
      <c r="AM92" s="264">
        <f t="shared" si="58"/>
        <v>0</v>
      </c>
      <c r="AN92" s="264">
        <f t="shared" si="58"/>
        <v>0</v>
      </c>
      <c r="AO92" s="264">
        <f t="shared" si="58"/>
        <v>0</v>
      </c>
      <c r="AP92" s="264">
        <f t="shared" si="58"/>
        <v>0</v>
      </c>
      <c r="AQ92" s="264">
        <f t="shared" si="58"/>
        <v>0</v>
      </c>
      <c r="AR92" s="264">
        <f t="shared" si="58"/>
        <v>0</v>
      </c>
      <c r="AS92" s="264">
        <f t="shared" si="58"/>
        <v>0</v>
      </c>
      <c r="AT92" s="150"/>
    </row>
    <row r="93" spans="17:46" x14ac:dyDescent="0.2">
      <c r="Q93" s="284"/>
      <c r="R93" s="155"/>
      <c r="S93" s="155"/>
      <c r="T93" s="155"/>
      <c r="U93" s="155"/>
      <c r="V93" s="155"/>
      <c r="W93" s="155"/>
      <c r="X93" s="155"/>
      <c r="Y93" s="155"/>
      <c r="Z93" s="217"/>
      <c r="AA93" s="272"/>
      <c r="AB93" s="270">
        <f>+AF88</f>
        <v>2</v>
      </c>
      <c r="AC93" s="271">
        <f>+AF89</f>
        <v>0</v>
      </c>
      <c r="AD93" s="264">
        <f t="shared" si="58"/>
        <v>0</v>
      </c>
      <c r="AE93" s="264">
        <f t="shared" si="58"/>
        <v>0</v>
      </c>
      <c r="AF93" s="264">
        <f t="shared" si="58"/>
        <v>0</v>
      </c>
      <c r="AG93" s="264">
        <f t="shared" si="58"/>
        <v>0</v>
      </c>
      <c r="AH93" s="264">
        <f t="shared" si="58"/>
        <v>0</v>
      </c>
      <c r="AI93" s="264">
        <f t="shared" si="58"/>
        <v>0</v>
      </c>
      <c r="AJ93" s="264">
        <f t="shared" si="58"/>
        <v>0</v>
      </c>
      <c r="AK93" s="264">
        <f t="shared" si="58"/>
        <v>0</v>
      </c>
      <c r="AL93" s="264">
        <f t="shared" si="58"/>
        <v>0</v>
      </c>
      <c r="AM93" s="264">
        <f t="shared" si="58"/>
        <v>0</v>
      </c>
      <c r="AN93" s="264">
        <f t="shared" si="58"/>
        <v>0</v>
      </c>
      <c r="AO93" s="264">
        <f t="shared" si="58"/>
        <v>0</v>
      </c>
      <c r="AP93" s="264">
        <f t="shared" si="58"/>
        <v>0</v>
      </c>
      <c r="AQ93" s="264">
        <f t="shared" si="58"/>
        <v>0</v>
      </c>
      <c r="AR93" s="264">
        <f t="shared" si="58"/>
        <v>0</v>
      </c>
      <c r="AS93" s="264">
        <f t="shared" si="58"/>
        <v>0</v>
      </c>
      <c r="AT93" s="150"/>
    </row>
    <row r="94" spans="17:46" x14ac:dyDescent="0.2">
      <c r="Q94" s="284"/>
      <c r="R94" s="155"/>
      <c r="S94" s="155"/>
      <c r="T94" s="155"/>
      <c r="U94" s="155"/>
      <c r="V94" s="155"/>
      <c r="W94" s="155"/>
      <c r="X94" s="155"/>
      <c r="Y94" s="155"/>
      <c r="Z94" s="217"/>
      <c r="AA94" s="272"/>
      <c r="AB94" s="270">
        <f>+AG88</f>
        <v>3</v>
      </c>
      <c r="AC94" s="271">
        <f>+AG89</f>
        <v>0</v>
      </c>
      <c r="AD94" s="264">
        <f t="shared" si="58"/>
        <v>0</v>
      </c>
      <c r="AE94" s="264">
        <f t="shared" si="58"/>
        <v>0</v>
      </c>
      <c r="AF94" s="264">
        <f t="shared" si="58"/>
        <v>0</v>
      </c>
      <c r="AG94" s="264">
        <f t="shared" si="58"/>
        <v>0</v>
      </c>
      <c r="AH94" s="264">
        <f t="shared" si="58"/>
        <v>0</v>
      </c>
      <c r="AI94" s="264">
        <f t="shared" si="58"/>
        <v>0</v>
      </c>
      <c r="AJ94" s="264">
        <f t="shared" si="58"/>
        <v>0</v>
      </c>
      <c r="AK94" s="264">
        <f t="shared" si="58"/>
        <v>0</v>
      </c>
      <c r="AL94" s="264">
        <f t="shared" si="58"/>
        <v>0</v>
      </c>
      <c r="AM94" s="264">
        <f t="shared" si="58"/>
        <v>0</v>
      </c>
      <c r="AN94" s="264">
        <f t="shared" si="58"/>
        <v>0</v>
      </c>
      <c r="AO94" s="264">
        <f t="shared" si="58"/>
        <v>0</v>
      </c>
      <c r="AP94" s="264">
        <f t="shared" si="58"/>
        <v>0</v>
      </c>
      <c r="AQ94" s="264">
        <f t="shared" si="58"/>
        <v>0</v>
      </c>
      <c r="AR94" s="264">
        <f t="shared" si="58"/>
        <v>0</v>
      </c>
      <c r="AS94" s="264">
        <f t="shared" si="58"/>
        <v>0</v>
      </c>
      <c r="AT94" s="150"/>
    </row>
    <row r="95" spans="17:46" x14ac:dyDescent="0.2">
      <c r="Q95" s="284"/>
      <c r="R95" s="155"/>
      <c r="S95" s="155"/>
      <c r="T95" s="155"/>
      <c r="U95" s="155"/>
      <c r="V95" s="155"/>
      <c r="W95" s="155"/>
      <c r="X95" s="155"/>
      <c r="Y95" s="155"/>
      <c r="Z95" s="217"/>
      <c r="AA95" s="206"/>
      <c r="AB95" s="270">
        <f>+AH88</f>
        <v>4</v>
      </c>
      <c r="AC95" s="271">
        <f>+AH89</f>
        <v>0</v>
      </c>
      <c r="AD95" s="264">
        <f t="shared" si="58"/>
        <v>0</v>
      </c>
      <c r="AE95" s="264">
        <f t="shared" si="58"/>
        <v>0</v>
      </c>
      <c r="AF95" s="264">
        <f t="shared" si="58"/>
        <v>0</v>
      </c>
      <c r="AG95" s="264">
        <f t="shared" si="58"/>
        <v>0</v>
      </c>
      <c r="AH95" s="264">
        <f t="shared" si="58"/>
        <v>0</v>
      </c>
      <c r="AI95" s="264">
        <f t="shared" si="58"/>
        <v>0</v>
      </c>
      <c r="AJ95" s="264">
        <f t="shared" si="58"/>
        <v>0</v>
      </c>
      <c r="AK95" s="264">
        <f t="shared" si="58"/>
        <v>0</v>
      </c>
      <c r="AL95" s="264">
        <f t="shared" si="58"/>
        <v>0</v>
      </c>
      <c r="AM95" s="264">
        <f t="shared" si="58"/>
        <v>0</v>
      </c>
      <c r="AN95" s="264">
        <f t="shared" si="58"/>
        <v>0</v>
      </c>
      <c r="AO95" s="264">
        <f t="shared" si="58"/>
        <v>0</v>
      </c>
      <c r="AP95" s="264">
        <f t="shared" si="58"/>
        <v>0</v>
      </c>
      <c r="AQ95" s="264">
        <f t="shared" si="58"/>
        <v>0</v>
      </c>
      <c r="AR95" s="264">
        <f t="shared" si="58"/>
        <v>0</v>
      </c>
      <c r="AS95" s="264">
        <f t="shared" si="58"/>
        <v>0</v>
      </c>
      <c r="AT95" s="150"/>
    </row>
    <row r="96" spans="17:46" x14ac:dyDescent="0.2">
      <c r="Q96" s="284"/>
      <c r="R96" s="155"/>
      <c r="S96" s="155"/>
      <c r="T96" s="155"/>
      <c r="U96" s="155"/>
      <c r="V96" s="155"/>
      <c r="W96" s="155"/>
      <c r="X96" s="155"/>
      <c r="Y96" s="155"/>
      <c r="Z96" s="217"/>
      <c r="AA96" s="206"/>
      <c r="AB96" s="270">
        <f>+AI88</f>
        <v>5</v>
      </c>
      <c r="AC96" s="271">
        <f>+AI89</f>
        <v>0</v>
      </c>
      <c r="AD96" s="264">
        <f t="shared" si="58"/>
        <v>0</v>
      </c>
      <c r="AE96" s="264">
        <f t="shared" si="58"/>
        <v>0</v>
      </c>
      <c r="AF96" s="264">
        <f t="shared" si="58"/>
        <v>0</v>
      </c>
      <c r="AG96" s="264">
        <f t="shared" si="58"/>
        <v>0</v>
      </c>
      <c r="AH96" s="264">
        <f t="shared" si="58"/>
        <v>0</v>
      </c>
      <c r="AI96" s="264">
        <f t="shared" si="58"/>
        <v>0</v>
      </c>
      <c r="AJ96" s="264">
        <f t="shared" si="58"/>
        <v>0</v>
      </c>
      <c r="AK96" s="264">
        <f t="shared" si="58"/>
        <v>0</v>
      </c>
      <c r="AL96" s="264">
        <f t="shared" si="58"/>
        <v>0</v>
      </c>
      <c r="AM96" s="264">
        <f t="shared" si="58"/>
        <v>0</v>
      </c>
      <c r="AN96" s="264">
        <f t="shared" si="58"/>
        <v>0</v>
      </c>
      <c r="AO96" s="264">
        <f t="shared" si="58"/>
        <v>0</v>
      </c>
      <c r="AP96" s="264">
        <f t="shared" si="58"/>
        <v>0</v>
      </c>
      <c r="AQ96" s="264">
        <f t="shared" si="58"/>
        <v>0</v>
      </c>
      <c r="AR96" s="264">
        <f t="shared" si="58"/>
        <v>0</v>
      </c>
      <c r="AS96" s="264">
        <f t="shared" si="58"/>
        <v>0</v>
      </c>
      <c r="AT96" s="150"/>
    </row>
    <row r="97" spans="17:46" x14ac:dyDescent="0.2">
      <c r="Q97" s="284"/>
      <c r="R97" s="155"/>
      <c r="S97" s="155"/>
      <c r="T97" s="155"/>
      <c r="U97" s="155"/>
      <c r="V97" s="155"/>
      <c r="W97" s="155"/>
      <c r="X97" s="155"/>
      <c r="Y97" s="155"/>
      <c r="Z97" s="217"/>
      <c r="AA97" s="206"/>
      <c r="AB97" s="270">
        <f>+AJ88</f>
        <v>6</v>
      </c>
      <c r="AC97" s="271">
        <f>+AJ89</f>
        <v>0</v>
      </c>
      <c r="AD97" s="264">
        <f t="shared" si="58"/>
        <v>0</v>
      </c>
      <c r="AE97" s="264">
        <f t="shared" si="58"/>
        <v>0</v>
      </c>
      <c r="AF97" s="264">
        <f t="shared" si="58"/>
        <v>0</v>
      </c>
      <c r="AG97" s="264">
        <f t="shared" si="58"/>
        <v>0</v>
      </c>
      <c r="AH97" s="264">
        <f t="shared" si="58"/>
        <v>0</v>
      </c>
      <c r="AI97" s="264">
        <f t="shared" si="58"/>
        <v>0</v>
      </c>
      <c r="AJ97" s="264">
        <f t="shared" si="58"/>
        <v>0</v>
      </c>
      <c r="AK97" s="264">
        <f t="shared" si="58"/>
        <v>0</v>
      </c>
      <c r="AL97" s="264">
        <f t="shared" si="58"/>
        <v>0</v>
      </c>
      <c r="AM97" s="264">
        <f t="shared" si="58"/>
        <v>0</v>
      </c>
      <c r="AN97" s="264">
        <f t="shared" si="58"/>
        <v>0</v>
      </c>
      <c r="AO97" s="264">
        <f t="shared" si="58"/>
        <v>0</v>
      </c>
      <c r="AP97" s="264">
        <f t="shared" si="58"/>
        <v>0</v>
      </c>
      <c r="AQ97" s="264">
        <f t="shared" si="58"/>
        <v>0</v>
      </c>
      <c r="AR97" s="264">
        <f t="shared" si="58"/>
        <v>0</v>
      </c>
      <c r="AS97" s="264">
        <f t="shared" si="58"/>
        <v>0</v>
      </c>
      <c r="AT97" s="150"/>
    </row>
    <row r="98" spans="17:46" x14ac:dyDescent="0.2">
      <c r="Q98" s="284"/>
      <c r="R98" s="155"/>
      <c r="S98" s="155"/>
      <c r="T98" s="155"/>
      <c r="U98" s="155"/>
      <c r="V98" s="155"/>
      <c r="W98" s="155"/>
      <c r="X98" s="155"/>
      <c r="Y98" s="155"/>
      <c r="Z98" s="217"/>
      <c r="AA98" s="206"/>
      <c r="AB98" s="270">
        <f>+AK88</f>
        <v>7</v>
      </c>
      <c r="AC98" s="271">
        <f>+AK89</f>
        <v>0</v>
      </c>
      <c r="AD98" s="264">
        <f t="shared" si="58"/>
        <v>0</v>
      </c>
      <c r="AE98" s="264">
        <f t="shared" si="58"/>
        <v>0</v>
      </c>
      <c r="AF98" s="264">
        <f t="shared" si="58"/>
        <v>0</v>
      </c>
      <c r="AG98" s="264">
        <f t="shared" si="58"/>
        <v>0</v>
      </c>
      <c r="AH98" s="264">
        <f t="shared" si="58"/>
        <v>0</v>
      </c>
      <c r="AI98" s="264">
        <f t="shared" si="58"/>
        <v>0</v>
      </c>
      <c r="AJ98" s="264">
        <f t="shared" si="58"/>
        <v>0</v>
      </c>
      <c r="AK98" s="264">
        <f t="shared" si="58"/>
        <v>0</v>
      </c>
      <c r="AL98" s="264">
        <f t="shared" si="58"/>
        <v>0</v>
      </c>
      <c r="AM98" s="264">
        <f t="shared" si="58"/>
        <v>0</v>
      </c>
      <c r="AN98" s="264">
        <f t="shared" si="58"/>
        <v>0</v>
      </c>
      <c r="AO98" s="264">
        <f t="shared" si="58"/>
        <v>0</v>
      </c>
      <c r="AP98" s="264">
        <f t="shared" si="58"/>
        <v>0</v>
      </c>
      <c r="AQ98" s="264">
        <f t="shared" si="58"/>
        <v>0</v>
      </c>
      <c r="AR98" s="264">
        <f t="shared" si="58"/>
        <v>0</v>
      </c>
      <c r="AS98" s="264">
        <f t="shared" si="58"/>
        <v>0</v>
      </c>
      <c r="AT98" s="150"/>
    </row>
    <row r="99" spans="17:46" x14ac:dyDescent="0.2">
      <c r="Q99" s="284"/>
      <c r="R99" s="155"/>
      <c r="S99" s="155"/>
      <c r="T99" s="155"/>
      <c r="U99" s="155"/>
      <c r="V99" s="155"/>
      <c r="W99" s="155"/>
      <c r="X99" s="155"/>
      <c r="Y99" s="155"/>
      <c r="Z99" s="217"/>
      <c r="AA99" s="206"/>
      <c r="AB99" s="270">
        <f>+AL88</f>
        <v>8</v>
      </c>
      <c r="AC99" s="271">
        <f>+AL89</f>
        <v>0</v>
      </c>
      <c r="AD99" s="264">
        <f t="shared" si="58"/>
        <v>0</v>
      </c>
      <c r="AE99" s="264">
        <f t="shared" si="58"/>
        <v>0</v>
      </c>
      <c r="AF99" s="264">
        <f t="shared" si="58"/>
        <v>0</v>
      </c>
      <c r="AG99" s="264">
        <f t="shared" si="58"/>
        <v>0</v>
      </c>
      <c r="AH99" s="264">
        <f t="shared" si="58"/>
        <v>0</v>
      </c>
      <c r="AI99" s="264">
        <f t="shared" si="58"/>
        <v>0</v>
      </c>
      <c r="AJ99" s="264">
        <f t="shared" si="58"/>
        <v>0</v>
      </c>
      <c r="AK99" s="264">
        <f t="shared" si="58"/>
        <v>0</v>
      </c>
      <c r="AL99" s="264">
        <f t="shared" si="58"/>
        <v>0</v>
      </c>
      <c r="AM99" s="264">
        <f t="shared" si="58"/>
        <v>0</v>
      </c>
      <c r="AN99" s="264">
        <f t="shared" si="58"/>
        <v>0</v>
      </c>
      <c r="AO99" s="264">
        <f t="shared" si="58"/>
        <v>0</v>
      </c>
      <c r="AP99" s="264">
        <f t="shared" si="58"/>
        <v>0</v>
      </c>
      <c r="AQ99" s="264">
        <f t="shared" si="58"/>
        <v>0</v>
      </c>
      <c r="AR99" s="264">
        <f t="shared" si="58"/>
        <v>0</v>
      </c>
      <c r="AS99" s="264">
        <f t="shared" si="58"/>
        <v>0</v>
      </c>
      <c r="AT99" s="150"/>
    </row>
    <row r="100" spans="17:46" x14ac:dyDescent="0.2">
      <c r="Q100" s="284"/>
      <c r="R100" s="155"/>
      <c r="S100" s="155"/>
      <c r="T100" s="155"/>
      <c r="U100" s="155"/>
      <c r="V100" s="155"/>
      <c r="W100" s="155"/>
      <c r="X100" s="155"/>
      <c r="Y100" s="155"/>
      <c r="Z100" s="217"/>
      <c r="AA100" s="206"/>
      <c r="AB100" s="270">
        <f>+AM88</f>
        <v>9</v>
      </c>
      <c r="AC100" s="271">
        <f>+AM89</f>
        <v>0</v>
      </c>
      <c r="AD100" s="264">
        <f t="shared" si="58"/>
        <v>0</v>
      </c>
      <c r="AE100" s="264">
        <f t="shared" si="58"/>
        <v>0</v>
      </c>
      <c r="AF100" s="264">
        <f t="shared" si="58"/>
        <v>0</v>
      </c>
      <c r="AG100" s="264">
        <f t="shared" si="58"/>
        <v>0</v>
      </c>
      <c r="AH100" s="264">
        <f t="shared" si="58"/>
        <v>0</v>
      </c>
      <c r="AI100" s="264">
        <f t="shared" si="58"/>
        <v>0</v>
      </c>
      <c r="AJ100" s="264">
        <f t="shared" si="58"/>
        <v>0</v>
      </c>
      <c r="AK100" s="264">
        <f t="shared" si="58"/>
        <v>0</v>
      </c>
      <c r="AL100" s="264">
        <f t="shared" si="58"/>
        <v>0</v>
      </c>
      <c r="AM100" s="264">
        <f t="shared" si="58"/>
        <v>0</v>
      </c>
      <c r="AN100" s="264">
        <f t="shared" si="58"/>
        <v>0</v>
      </c>
      <c r="AO100" s="264">
        <f t="shared" si="58"/>
        <v>0</v>
      </c>
      <c r="AP100" s="264">
        <f t="shared" si="58"/>
        <v>0</v>
      </c>
      <c r="AQ100" s="264">
        <f t="shared" si="58"/>
        <v>0</v>
      </c>
      <c r="AR100" s="264">
        <f t="shared" si="58"/>
        <v>0</v>
      </c>
      <c r="AS100" s="264">
        <f t="shared" si="58"/>
        <v>0</v>
      </c>
      <c r="AT100" s="150"/>
    </row>
    <row r="101" spans="17:46" x14ac:dyDescent="0.2">
      <c r="Q101" s="284"/>
      <c r="R101" s="155"/>
      <c r="S101" s="155"/>
      <c r="T101" s="155"/>
      <c r="U101" s="155"/>
      <c r="V101" s="155"/>
      <c r="W101" s="155"/>
      <c r="X101" s="155"/>
      <c r="Y101" s="155"/>
      <c r="Z101" s="261"/>
      <c r="AA101" s="206"/>
      <c r="AB101" s="270">
        <f>+AN88</f>
        <v>10</v>
      </c>
      <c r="AC101" s="271">
        <f>+AN89</f>
        <v>0</v>
      </c>
      <c r="AD101" s="264">
        <f t="shared" ref="AD101:AS106" si="59">IF(AD$88=$AB101,$AC101/$AB$87,IF(AD$88&gt;=$AB101+$AB$87,0,IF(AD$88&lt;$AB101,0,$AC101/$AB$87)))</f>
        <v>0</v>
      </c>
      <c r="AE101" s="264">
        <f t="shared" si="59"/>
        <v>0</v>
      </c>
      <c r="AF101" s="264">
        <f t="shared" si="59"/>
        <v>0</v>
      </c>
      <c r="AG101" s="264">
        <f t="shared" si="59"/>
        <v>0</v>
      </c>
      <c r="AH101" s="264">
        <f t="shared" si="59"/>
        <v>0</v>
      </c>
      <c r="AI101" s="264">
        <f t="shared" si="59"/>
        <v>0</v>
      </c>
      <c r="AJ101" s="264">
        <f t="shared" si="59"/>
        <v>0</v>
      </c>
      <c r="AK101" s="264">
        <f t="shared" si="59"/>
        <v>0</v>
      </c>
      <c r="AL101" s="264">
        <f t="shared" si="59"/>
        <v>0</v>
      </c>
      <c r="AM101" s="264">
        <f t="shared" si="59"/>
        <v>0</v>
      </c>
      <c r="AN101" s="264">
        <f t="shared" si="59"/>
        <v>0</v>
      </c>
      <c r="AO101" s="264">
        <f t="shared" si="59"/>
        <v>0</v>
      </c>
      <c r="AP101" s="264">
        <f t="shared" si="59"/>
        <v>0</v>
      </c>
      <c r="AQ101" s="264">
        <f t="shared" si="59"/>
        <v>0</v>
      </c>
      <c r="AR101" s="264">
        <f t="shared" si="59"/>
        <v>0</v>
      </c>
      <c r="AS101" s="264">
        <f t="shared" si="59"/>
        <v>0</v>
      </c>
      <c r="AT101" s="150"/>
    </row>
    <row r="102" spans="17:46" x14ac:dyDescent="0.2">
      <c r="Q102" s="284"/>
      <c r="R102" s="155"/>
      <c r="S102" s="155"/>
      <c r="T102" s="155"/>
      <c r="U102" s="155"/>
      <c r="V102" s="155"/>
      <c r="W102" s="155"/>
      <c r="X102" s="155"/>
      <c r="Y102" s="155"/>
      <c r="Z102" s="217"/>
      <c r="AA102" s="206"/>
      <c r="AB102" s="270">
        <f>+AO88</f>
        <v>11</v>
      </c>
      <c r="AC102" s="271">
        <f>+AO89</f>
        <v>0</v>
      </c>
      <c r="AD102" s="264">
        <f t="shared" si="59"/>
        <v>0</v>
      </c>
      <c r="AE102" s="264">
        <f t="shared" si="59"/>
        <v>0</v>
      </c>
      <c r="AF102" s="264">
        <f t="shared" si="59"/>
        <v>0</v>
      </c>
      <c r="AG102" s="264">
        <f t="shared" si="59"/>
        <v>0</v>
      </c>
      <c r="AH102" s="264">
        <f t="shared" si="59"/>
        <v>0</v>
      </c>
      <c r="AI102" s="264">
        <f t="shared" si="59"/>
        <v>0</v>
      </c>
      <c r="AJ102" s="264">
        <f t="shared" si="59"/>
        <v>0</v>
      </c>
      <c r="AK102" s="264">
        <f t="shared" si="59"/>
        <v>0</v>
      </c>
      <c r="AL102" s="264">
        <f t="shared" si="59"/>
        <v>0</v>
      </c>
      <c r="AM102" s="264">
        <f t="shared" si="59"/>
        <v>0</v>
      </c>
      <c r="AN102" s="264">
        <f t="shared" si="59"/>
        <v>0</v>
      </c>
      <c r="AO102" s="264">
        <f t="shared" si="59"/>
        <v>0</v>
      </c>
      <c r="AP102" s="264">
        <f t="shared" si="59"/>
        <v>0</v>
      </c>
      <c r="AQ102" s="264">
        <f t="shared" si="59"/>
        <v>0</v>
      </c>
      <c r="AR102" s="264">
        <f t="shared" si="59"/>
        <v>0</v>
      </c>
      <c r="AS102" s="264">
        <f t="shared" si="59"/>
        <v>0</v>
      </c>
      <c r="AT102" s="150"/>
    </row>
    <row r="103" spans="17:46" x14ac:dyDescent="0.2">
      <c r="Q103" s="284"/>
      <c r="R103" s="155"/>
      <c r="S103" s="155"/>
      <c r="T103" s="155"/>
      <c r="U103" s="155"/>
      <c r="V103" s="155"/>
      <c r="W103" s="155"/>
      <c r="X103" s="155"/>
      <c r="Y103" s="155"/>
      <c r="Z103" s="217"/>
      <c r="AA103" s="206"/>
      <c r="AB103" s="270">
        <f>+AP88</f>
        <v>12</v>
      </c>
      <c r="AC103" s="271">
        <f>+AP89</f>
        <v>0</v>
      </c>
      <c r="AD103" s="264">
        <f t="shared" si="59"/>
        <v>0</v>
      </c>
      <c r="AE103" s="264">
        <f t="shared" si="59"/>
        <v>0</v>
      </c>
      <c r="AF103" s="264">
        <f t="shared" si="59"/>
        <v>0</v>
      </c>
      <c r="AG103" s="264">
        <f t="shared" si="59"/>
        <v>0</v>
      </c>
      <c r="AH103" s="264">
        <f t="shared" si="59"/>
        <v>0</v>
      </c>
      <c r="AI103" s="264">
        <f t="shared" si="59"/>
        <v>0</v>
      </c>
      <c r="AJ103" s="264">
        <f t="shared" si="59"/>
        <v>0</v>
      </c>
      <c r="AK103" s="264">
        <f t="shared" si="59"/>
        <v>0</v>
      </c>
      <c r="AL103" s="264">
        <f t="shared" si="59"/>
        <v>0</v>
      </c>
      <c r="AM103" s="264">
        <f t="shared" si="59"/>
        <v>0</v>
      </c>
      <c r="AN103" s="264">
        <f t="shared" si="59"/>
        <v>0</v>
      </c>
      <c r="AO103" s="264">
        <f t="shared" si="59"/>
        <v>0</v>
      </c>
      <c r="AP103" s="264">
        <f t="shared" si="59"/>
        <v>0</v>
      </c>
      <c r="AQ103" s="264">
        <f t="shared" si="59"/>
        <v>0</v>
      </c>
      <c r="AR103" s="264">
        <f t="shared" si="59"/>
        <v>0</v>
      </c>
      <c r="AS103" s="264">
        <f t="shared" si="59"/>
        <v>0</v>
      </c>
      <c r="AT103" s="150"/>
    </row>
    <row r="104" spans="17:46" x14ac:dyDescent="0.2">
      <c r="Q104" s="284"/>
      <c r="R104" s="155"/>
      <c r="S104" s="155"/>
      <c r="T104" s="155"/>
      <c r="U104" s="155"/>
      <c r="V104" s="155"/>
      <c r="W104" s="155"/>
      <c r="X104" s="155"/>
      <c r="Y104" s="155"/>
      <c r="Z104" s="217"/>
      <c r="AA104" s="206"/>
      <c r="AB104" s="270">
        <f>+AQ88</f>
        <v>13</v>
      </c>
      <c r="AC104" s="271">
        <f>+AQ89</f>
        <v>0</v>
      </c>
      <c r="AD104" s="264">
        <f t="shared" si="59"/>
        <v>0</v>
      </c>
      <c r="AE104" s="264">
        <f t="shared" si="59"/>
        <v>0</v>
      </c>
      <c r="AF104" s="264">
        <f t="shared" si="59"/>
        <v>0</v>
      </c>
      <c r="AG104" s="264">
        <f t="shared" si="59"/>
        <v>0</v>
      </c>
      <c r="AH104" s="264">
        <f t="shared" si="59"/>
        <v>0</v>
      </c>
      <c r="AI104" s="264">
        <f t="shared" si="59"/>
        <v>0</v>
      </c>
      <c r="AJ104" s="264">
        <f t="shared" si="59"/>
        <v>0</v>
      </c>
      <c r="AK104" s="264">
        <f t="shared" si="59"/>
        <v>0</v>
      </c>
      <c r="AL104" s="264">
        <f t="shared" si="59"/>
        <v>0</v>
      </c>
      <c r="AM104" s="264">
        <f t="shared" si="59"/>
        <v>0</v>
      </c>
      <c r="AN104" s="264">
        <f t="shared" si="59"/>
        <v>0</v>
      </c>
      <c r="AO104" s="264">
        <f t="shared" si="59"/>
        <v>0</v>
      </c>
      <c r="AP104" s="264">
        <f t="shared" si="59"/>
        <v>0</v>
      </c>
      <c r="AQ104" s="264">
        <f t="shared" si="59"/>
        <v>0</v>
      </c>
      <c r="AR104" s="264">
        <f t="shared" si="59"/>
        <v>0</v>
      </c>
      <c r="AS104" s="264">
        <f t="shared" si="59"/>
        <v>0</v>
      </c>
      <c r="AT104" s="150"/>
    </row>
    <row r="105" spans="17:46" x14ac:dyDescent="0.2">
      <c r="Q105" s="284"/>
      <c r="R105" s="155"/>
      <c r="S105" s="155"/>
      <c r="T105" s="155"/>
      <c r="U105" s="155"/>
      <c r="V105" s="155"/>
      <c r="W105" s="155"/>
      <c r="X105" s="155"/>
      <c r="Y105" s="155"/>
      <c r="Z105" s="217"/>
      <c r="AA105" s="206"/>
      <c r="AB105" s="270">
        <f>+AR88</f>
        <v>14</v>
      </c>
      <c r="AC105" s="271">
        <f>+AR89</f>
        <v>0</v>
      </c>
      <c r="AD105" s="264">
        <f t="shared" si="59"/>
        <v>0</v>
      </c>
      <c r="AE105" s="264">
        <f t="shared" si="59"/>
        <v>0</v>
      </c>
      <c r="AF105" s="264">
        <f t="shared" si="59"/>
        <v>0</v>
      </c>
      <c r="AG105" s="264">
        <f t="shared" si="59"/>
        <v>0</v>
      </c>
      <c r="AH105" s="264">
        <f t="shared" si="59"/>
        <v>0</v>
      </c>
      <c r="AI105" s="264">
        <f t="shared" si="59"/>
        <v>0</v>
      </c>
      <c r="AJ105" s="264">
        <f t="shared" si="59"/>
        <v>0</v>
      </c>
      <c r="AK105" s="264">
        <f t="shared" si="59"/>
        <v>0</v>
      </c>
      <c r="AL105" s="264">
        <f t="shared" si="59"/>
        <v>0</v>
      </c>
      <c r="AM105" s="264">
        <f t="shared" si="59"/>
        <v>0</v>
      </c>
      <c r="AN105" s="264">
        <f t="shared" si="59"/>
        <v>0</v>
      </c>
      <c r="AO105" s="264">
        <f t="shared" si="59"/>
        <v>0</v>
      </c>
      <c r="AP105" s="264">
        <f t="shared" si="59"/>
        <v>0</v>
      </c>
      <c r="AQ105" s="264">
        <f t="shared" si="59"/>
        <v>0</v>
      </c>
      <c r="AR105" s="264">
        <f t="shared" si="59"/>
        <v>0</v>
      </c>
      <c r="AS105" s="264">
        <f t="shared" si="59"/>
        <v>0</v>
      </c>
      <c r="AT105" s="150"/>
    </row>
    <row r="106" spans="17:46" x14ac:dyDescent="0.2">
      <c r="Q106" s="284"/>
      <c r="R106" s="155"/>
      <c r="S106" s="155"/>
      <c r="T106" s="155"/>
      <c r="U106" s="155"/>
      <c r="V106" s="155"/>
      <c r="W106" s="155"/>
      <c r="X106" s="155"/>
      <c r="Y106" s="155"/>
      <c r="Z106" s="217"/>
      <c r="AA106" s="206"/>
      <c r="AB106" s="270">
        <f>+AS88</f>
        <v>15</v>
      </c>
      <c r="AC106" s="271">
        <f>+AS89</f>
        <v>0</v>
      </c>
      <c r="AD106" s="264">
        <f t="shared" si="59"/>
        <v>0</v>
      </c>
      <c r="AE106" s="264">
        <f t="shared" si="59"/>
        <v>0</v>
      </c>
      <c r="AF106" s="264">
        <f t="shared" si="59"/>
        <v>0</v>
      </c>
      <c r="AG106" s="264">
        <f t="shared" si="59"/>
        <v>0</v>
      </c>
      <c r="AH106" s="264">
        <f t="shared" si="59"/>
        <v>0</v>
      </c>
      <c r="AI106" s="264">
        <f t="shared" si="59"/>
        <v>0</v>
      </c>
      <c r="AJ106" s="264">
        <f t="shared" si="59"/>
        <v>0</v>
      </c>
      <c r="AK106" s="264">
        <f t="shared" si="59"/>
        <v>0</v>
      </c>
      <c r="AL106" s="264">
        <f t="shared" si="59"/>
        <v>0</v>
      </c>
      <c r="AM106" s="264">
        <f t="shared" si="59"/>
        <v>0</v>
      </c>
      <c r="AN106" s="264">
        <f t="shared" si="59"/>
        <v>0</v>
      </c>
      <c r="AO106" s="264">
        <f t="shared" si="59"/>
        <v>0</v>
      </c>
      <c r="AP106" s="264">
        <f t="shared" si="59"/>
        <v>0</v>
      </c>
      <c r="AQ106" s="264">
        <f t="shared" si="59"/>
        <v>0</v>
      </c>
      <c r="AR106" s="264">
        <f t="shared" si="59"/>
        <v>0</v>
      </c>
      <c r="AS106" s="264">
        <f t="shared" si="59"/>
        <v>0</v>
      </c>
      <c r="AT106" s="150"/>
    </row>
    <row r="107" spans="17:46" x14ac:dyDescent="0.2">
      <c r="Q107" s="284"/>
      <c r="R107" s="155"/>
      <c r="S107" s="155"/>
      <c r="T107" s="155"/>
      <c r="U107" s="155"/>
      <c r="V107" s="155"/>
      <c r="W107" s="155"/>
      <c r="X107" s="155"/>
      <c r="Y107" s="155"/>
      <c r="Z107" s="217"/>
      <c r="AA107" s="261" t="s">
        <v>16</v>
      </c>
      <c r="AB107" s="217"/>
      <c r="AC107" s="273"/>
      <c r="AD107" s="264">
        <f>IF(AD$88=$AB107,$AC107/$AB$87,IF(AD$88&gt;=$AB107+$AB$87,0,IF(AD$88&lt;$AB107,0,$AC107/$AB$87)))</f>
        <v>0</v>
      </c>
      <c r="AE107" s="264">
        <f t="shared" ref="AE107:AS107" si="60">+AE90-AE108</f>
        <v>16000</v>
      </c>
      <c r="AF107" s="264">
        <f t="shared" si="60"/>
        <v>12000</v>
      </c>
      <c r="AG107" s="264">
        <f t="shared" si="60"/>
        <v>8000</v>
      </c>
      <c r="AH107" s="264">
        <f t="shared" si="60"/>
        <v>4000</v>
      </c>
      <c r="AI107" s="264">
        <f t="shared" si="60"/>
        <v>0</v>
      </c>
      <c r="AJ107" s="264">
        <f t="shared" si="60"/>
        <v>0</v>
      </c>
      <c r="AK107" s="264">
        <f t="shared" si="60"/>
        <v>0</v>
      </c>
      <c r="AL107" s="264">
        <f t="shared" si="60"/>
        <v>0</v>
      </c>
      <c r="AM107" s="264">
        <f t="shared" si="60"/>
        <v>0</v>
      </c>
      <c r="AN107" s="264">
        <f t="shared" si="60"/>
        <v>0</v>
      </c>
      <c r="AO107" s="264">
        <f t="shared" si="60"/>
        <v>0</v>
      </c>
      <c r="AP107" s="264">
        <f t="shared" si="60"/>
        <v>0</v>
      </c>
      <c r="AQ107" s="264">
        <f t="shared" si="60"/>
        <v>0</v>
      </c>
      <c r="AR107" s="264">
        <f t="shared" si="60"/>
        <v>0</v>
      </c>
      <c r="AS107" s="264">
        <f t="shared" si="60"/>
        <v>0</v>
      </c>
      <c r="AT107" s="150"/>
    </row>
    <row r="108" spans="17:46" x14ac:dyDescent="0.2">
      <c r="Q108" s="284"/>
      <c r="R108" s="155"/>
      <c r="S108" s="155"/>
      <c r="T108" s="155"/>
      <c r="U108" s="155"/>
      <c r="V108" s="155"/>
      <c r="W108" s="155"/>
      <c r="X108" s="155"/>
      <c r="Y108" s="155"/>
      <c r="Z108" s="217"/>
      <c r="AA108" s="261" t="s">
        <v>10</v>
      </c>
      <c r="AB108" s="274"/>
      <c r="AC108" s="271"/>
      <c r="AD108" s="264"/>
      <c r="AE108" s="264">
        <f>+AE109+AD109</f>
        <v>4000</v>
      </c>
      <c r="AF108" s="264">
        <f t="shared" ref="AF108:AS108" si="61">+AF109+AE108</f>
        <v>8000</v>
      </c>
      <c r="AG108" s="264">
        <f t="shared" si="61"/>
        <v>12000</v>
      </c>
      <c r="AH108" s="264">
        <f t="shared" si="61"/>
        <v>16000</v>
      </c>
      <c r="AI108" s="264">
        <f t="shared" si="61"/>
        <v>20000</v>
      </c>
      <c r="AJ108" s="264">
        <f t="shared" si="61"/>
        <v>20000</v>
      </c>
      <c r="AK108" s="264">
        <f t="shared" si="61"/>
        <v>20000</v>
      </c>
      <c r="AL108" s="264">
        <f t="shared" si="61"/>
        <v>20000</v>
      </c>
      <c r="AM108" s="264">
        <f t="shared" si="61"/>
        <v>20000</v>
      </c>
      <c r="AN108" s="264">
        <f t="shared" si="61"/>
        <v>20000</v>
      </c>
      <c r="AO108" s="264">
        <f t="shared" si="61"/>
        <v>20000</v>
      </c>
      <c r="AP108" s="264">
        <f t="shared" si="61"/>
        <v>20000</v>
      </c>
      <c r="AQ108" s="264">
        <f t="shared" si="61"/>
        <v>20000</v>
      </c>
      <c r="AR108" s="264">
        <f t="shared" si="61"/>
        <v>20000</v>
      </c>
      <c r="AS108" s="264">
        <f t="shared" si="61"/>
        <v>20000</v>
      </c>
      <c r="AT108" s="150"/>
    </row>
    <row r="109" spans="17:46" x14ac:dyDescent="0.2">
      <c r="Q109" s="284"/>
      <c r="R109" s="155"/>
      <c r="S109" s="155"/>
      <c r="T109" s="155"/>
      <c r="U109" s="155"/>
      <c r="V109" s="155"/>
      <c r="W109" s="155"/>
      <c r="X109" s="155"/>
      <c r="Y109" s="155"/>
      <c r="Z109" s="275"/>
      <c r="AA109" s="261" t="s">
        <v>1</v>
      </c>
      <c r="AB109" s="275"/>
      <c r="AC109" s="276"/>
      <c r="AD109" s="264">
        <f>SUM(AD91:AD108)</f>
        <v>0</v>
      </c>
      <c r="AE109" s="264">
        <f t="shared" ref="AE109:AS109" si="62">SUM(AE91:AE106)</f>
        <v>4000</v>
      </c>
      <c r="AF109" s="264">
        <f t="shared" si="62"/>
        <v>4000</v>
      </c>
      <c r="AG109" s="264">
        <f t="shared" si="62"/>
        <v>4000</v>
      </c>
      <c r="AH109" s="264">
        <f t="shared" si="62"/>
        <v>4000</v>
      </c>
      <c r="AI109" s="264">
        <f t="shared" si="62"/>
        <v>4000</v>
      </c>
      <c r="AJ109" s="264">
        <f t="shared" si="62"/>
        <v>0</v>
      </c>
      <c r="AK109" s="264">
        <f t="shared" si="62"/>
        <v>0</v>
      </c>
      <c r="AL109" s="264">
        <f t="shared" si="62"/>
        <v>0</v>
      </c>
      <c r="AM109" s="264">
        <f t="shared" si="62"/>
        <v>0</v>
      </c>
      <c r="AN109" s="264">
        <f t="shared" si="62"/>
        <v>0</v>
      </c>
      <c r="AO109" s="264">
        <f t="shared" si="62"/>
        <v>0</v>
      </c>
      <c r="AP109" s="264">
        <f t="shared" si="62"/>
        <v>0</v>
      </c>
      <c r="AQ109" s="264">
        <f t="shared" si="62"/>
        <v>0</v>
      </c>
      <c r="AR109" s="264">
        <f t="shared" si="62"/>
        <v>0</v>
      </c>
      <c r="AS109" s="264">
        <f t="shared" si="62"/>
        <v>0</v>
      </c>
      <c r="AT109" s="150"/>
    </row>
    <row r="110" spans="17:46" x14ac:dyDescent="0.2">
      <c r="Q110" s="284"/>
      <c r="R110" s="155"/>
      <c r="S110" s="155"/>
      <c r="T110" s="155"/>
      <c r="U110" s="155"/>
      <c r="V110" s="155"/>
      <c r="W110" s="155"/>
      <c r="X110" s="155"/>
      <c r="Y110" s="155"/>
      <c r="Z110" s="217"/>
      <c r="AA110" s="217"/>
      <c r="AB110" s="217"/>
      <c r="AC110" s="273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249"/>
      <c r="AN110" s="249"/>
      <c r="AO110" s="249"/>
      <c r="AP110" s="249"/>
      <c r="AQ110" s="249"/>
      <c r="AR110" s="249"/>
      <c r="AS110" s="249"/>
      <c r="AT110" s="150"/>
    </row>
    <row r="111" spans="17:46" x14ac:dyDescent="0.2">
      <c r="Q111" s="284"/>
      <c r="R111" s="155"/>
      <c r="S111" s="155"/>
      <c r="T111" s="155"/>
      <c r="U111" s="155"/>
      <c r="V111" s="155"/>
      <c r="W111" s="155"/>
      <c r="X111" s="155"/>
      <c r="Y111" s="155"/>
      <c r="Z111" s="217"/>
      <c r="AA111" s="217"/>
      <c r="AB111" s="247" t="s">
        <v>8</v>
      </c>
      <c r="AC111" s="248" t="s">
        <v>11</v>
      </c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150"/>
    </row>
    <row r="112" spans="17:46" x14ac:dyDescent="0.2">
      <c r="Q112" s="284"/>
      <c r="R112" s="155"/>
      <c r="S112" s="155"/>
      <c r="T112" s="155"/>
      <c r="U112" s="155"/>
      <c r="V112" s="155"/>
      <c r="W112" s="155"/>
      <c r="X112" s="155"/>
      <c r="Y112" s="155"/>
      <c r="Z112" s="217"/>
      <c r="AA112" s="250"/>
      <c r="AB112" s="251">
        <f>+I.InputData!E49</f>
        <v>7</v>
      </c>
      <c r="AC112" s="252">
        <f>1/AB112</f>
        <v>0.14285714285714285</v>
      </c>
      <c r="AD112" s="205">
        <f>+I.InputData!G11</f>
        <v>44927</v>
      </c>
      <c r="AE112" s="541" t="s">
        <v>38</v>
      </c>
      <c r="AF112" s="541"/>
      <c r="AG112" s="541"/>
      <c r="AH112" s="541"/>
      <c r="AI112" s="541"/>
      <c r="AJ112" s="541"/>
      <c r="AK112" s="541"/>
      <c r="AL112" s="541"/>
      <c r="AM112" s="541"/>
      <c r="AN112" s="542"/>
      <c r="AO112" s="253"/>
      <c r="AP112" s="253"/>
      <c r="AQ112" s="253"/>
      <c r="AR112" s="253"/>
      <c r="AS112" s="254"/>
      <c r="AT112" s="150"/>
    </row>
    <row r="113" spans="17:46" x14ac:dyDescent="0.2">
      <c r="Q113" s="284"/>
      <c r="R113" s="155"/>
      <c r="S113" s="155"/>
      <c r="T113" s="155"/>
      <c r="U113" s="155"/>
      <c r="V113" s="155"/>
      <c r="W113" s="155"/>
      <c r="X113" s="155"/>
      <c r="Y113" s="155"/>
      <c r="Z113" s="255"/>
      <c r="AA113" s="255"/>
      <c r="AB113" s="256"/>
      <c r="AC113" s="257"/>
      <c r="AD113" s="258">
        <v>0</v>
      </c>
      <c r="AE113" s="259">
        <v>1</v>
      </c>
      <c r="AF113" s="259">
        <v>2</v>
      </c>
      <c r="AG113" s="259">
        <v>3</v>
      </c>
      <c r="AH113" s="259">
        <v>4</v>
      </c>
      <c r="AI113" s="259">
        <v>5</v>
      </c>
      <c r="AJ113" s="259">
        <v>6</v>
      </c>
      <c r="AK113" s="259">
        <v>7</v>
      </c>
      <c r="AL113" s="259">
        <v>8</v>
      </c>
      <c r="AM113" s="259">
        <v>9</v>
      </c>
      <c r="AN113" s="259">
        <v>10</v>
      </c>
      <c r="AO113" s="260">
        <f>+AN113+1</f>
        <v>11</v>
      </c>
      <c r="AP113" s="260">
        <f>+AO113+1</f>
        <v>12</v>
      </c>
      <c r="AQ113" s="260">
        <f>+AP113+1</f>
        <v>13</v>
      </c>
      <c r="AR113" s="260">
        <f>+AQ113+1</f>
        <v>14</v>
      </c>
      <c r="AS113" s="260">
        <f>+AR113+1</f>
        <v>15</v>
      </c>
      <c r="AT113" s="150"/>
    </row>
    <row r="114" spans="17:46" x14ac:dyDescent="0.2">
      <c r="Q114" s="284"/>
      <c r="R114" s="155"/>
      <c r="S114" s="155"/>
      <c r="T114" s="155"/>
      <c r="U114" s="155"/>
      <c r="V114" s="155"/>
      <c r="W114" s="155"/>
      <c r="X114" s="155"/>
      <c r="Y114" s="155"/>
      <c r="Z114" s="217"/>
      <c r="AA114" s="261" t="str">
        <f>+SUPPORT!S83</f>
        <v>Total investment 7y</v>
      </c>
      <c r="AB114" s="262"/>
      <c r="AC114" s="263"/>
      <c r="AD114" s="264">
        <f t="shared" ref="AD114:AS114" si="63">AD83</f>
        <v>5000</v>
      </c>
      <c r="AE114" s="264">
        <f t="shared" si="63"/>
        <v>0</v>
      </c>
      <c r="AF114" s="264">
        <f t="shared" si="63"/>
        <v>0</v>
      </c>
      <c r="AG114" s="264">
        <f t="shared" si="63"/>
        <v>0</v>
      </c>
      <c r="AH114" s="264">
        <f t="shared" si="63"/>
        <v>0</v>
      </c>
      <c r="AI114" s="264">
        <f t="shared" si="63"/>
        <v>0</v>
      </c>
      <c r="AJ114" s="264">
        <f t="shared" si="63"/>
        <v>0</v>
      </c>
      <c r="AK114" s="264">
        <f t="shared" si="63"/>
        <v>0</v>
      </c>
      <c r="AL114" s="264">
        <f t="shared" si="63"/>
        <v>0</v>
      </c>
      <c r="AM114" s="264">
        <f t="shared" si="63"/>
        <v>0</v>
      </c>
      <c r="AN114" s="264">
        <f t="shared" si="63"/>
        <v>0</v>
      </c>
      <c r="AO114" s="264">
        <f t="shared" si="63"/>
        <v>0</v>
      </c>
      <c r="AP114" s="264">
        <f t="shared" si="63"/>
        <v>0</v>
      </c>
      <c r="AQ114" s="264">
        <f t="shared" si="63"/>
        <v>0</v>
      </c>
      <c r="AR114" s="264">
        <f t="shared" si="63"/>
        <v>0</v>
      </c>
      <c r="AS114" s="264">
        <f t="shared" si="63"/>
        <v>0</v>
      </c>
      <c r="AT114" s="150"/>
    </row>
    <row r="115" spans="17:46" ht="13.5" thickBot="1" x14ac:dyDescent="0.25">
      <c r="Q115" s="284"/>
      <c r="R115" s="155"/>
      <c r="S115" s="155"/>
      <c r="T115" s="155"/>
      <c r="U115" s="155"/>
      <c r="V115" s="155"/>
      <c r="W115" s="155"/>
      <c r="X115" s="155"/>
      <c r="Y115" s="155"/>
      <c r="Z115" s="265"/>
      <c r="AA115" s="265" t="s">
        <v>17</v>
      </c>
      <c r="AB115" s="265"/>
      <c r="AC115" s="266"/>
      <c r="AD115" s="267">
        <f>+AD114</f>
        <v>5000</v>
      </c>
      <c r="AE115" s="268">
        <f>+AE114+AD115</f>
        <v>5000</v>
      </c>
      <c r="AF115" s="268">
        <f t="shared" ref="AF115:AS115" si="64">+AE115+AF114</f>
        <v>5000</v>
      </c>
      <c r="AG115" s="268">
        <f t="shared" si="64"/>
        <v>5000</v>
      </c>
      <c r="AH115" s="268">
        <f t="shared" si="64"/>
        <v>5000</v>
      </c>
      <c r="AI115" s="268">
        <f t="shared" si="64"/>
        <v>5000</v>
      </c>
      <c r="AJ115" s="268">
        <f t="shared" si="64"/>
        <v>5000</v>
      </c>
      <c r="AK115" s="268">
        <f t="shared" si="64"/>
        <v>5000</v>
      </c>
      <c r="AL115" s="268">
        <f t="shared" si="64"/>
        <v>5000</v>
      </c>
      <c r="AM115" s="268">
        <f t="shared" si="64"/>
        <v>5000</v>
      </c>
      <c r="AN115" s="268">
        <f t="shared" si="64"/>
        <v>5000</v>
      </c>
      <c r="AO115" s="268">
        <f t="shared" si="64"/>
        <v>5000</v>
      </c>
      <c r="AP115" s="268">
        <f t="shared" si="64"/>
        <v>5000</v>
      </c>
      <c r="AQ115" s="268">
        <f t="shared" si="64"/>
        <v>5000</v>
      </c>
      <c r="AR115" s="268">
        <f t="shared" si="64"/>
        <v>5000</v>
      </c>
      <c r="AS115" s="268">
        <f t="shared" si="64"/>
        <v>5000</v>
      </c>
      <c r="AT115" s="150"/>
    </row>
    <row r="116" spans="17:46" ht="13.5" thickTop="1" x14ac:dyDescent="0.2">
      <c r="Q116" s="284"/>
      <c r="R116" s="155"/>
      <c r="S116" s="155"/>
      <c r="T116" s="155"/>
      <c r="U116" s="155"/>
      <c r="V116" s="155"/>
      <c r="W116" s="155"/>
      <c r="X116" s="155"/>
      <c r="Y116" s="155"/>
      <c r="Z116" s="217"/>
      <c r="AA116" s="269"/>
      <c r="AB116" s="270">
        <f>+AD113</f>
        <v>0</v>
      </c>
      <c r="AC116" s="271">
        <f>+AD115</f>
        <v>5000</v>
      </c>
      <c r="AD116" s="264">
        <f t="shared" ref="AD116:AS125" si="65">IF(AD$113=$AB116,$AC116/$AB$112,IF(AD$113&gt;=$AB116+$AB$112,0,IF(AD$113&lt;$AB116,0,$AC116/$AB$112)))</f>
        <v>714.28571428571433</v>
      </c>
      <c r="AE116" s="264">
        <f t="shared" si="65"/>
        <v>714.28571428571433</v>
      </c>
      <c r="AF116" s="264">
        <f t="shared" si="65"/>
        <v>714.28571428571433</v>
      </c>
      <c r="AG116" s="264">
        <f t="shared" si="65"/>
        <v>714.28571428571433</v>
      </c>
      <c r="AH116" s="264">
        <f t="shared" si="65"/>
        <v>714.28571428571433</v>
      </c>
      <c r="AI116" s="264">
        <f t="shared" si="65"/>
        <v>714.28571428571433</v>
      </c>
      <c r="AJ116" s="264">
        <f t="shared" si="65"/>
        <v>714.28571428571433</v>
      </c>
      <c r="AK116" s="264">
        <f t="shared" si="65"/>
        <v>0</v>
      </c>
      <c r="AL116" s="264">
        <f t="shared" si="65"/>
        <v>0</v>
      </c>
      <c r="AM116" s="264">
        <f t="shared" si="65"/>
        <v>0</v>
      </c>
      <c r="AN116" s="264">
        <f t="shared" si="65"/>
        <v>0</v>
      </c>
      <c r="AO116" s="264">
        <f t="shared" si="65"/>
        <v>0</v>
      </c>
      <c r="AP116" s="264">
        <f t="shared" si="65"/>
        <v>0</v>
      </c>
      <c r="AQ116" s="264">
        <f t="shared" si="65"/>
        <v>0</v>
      </c>
      <c r="AR116" s="264">
        <f t="shared" si="65"/>
        <v>0</v>
      </c>
      <c r="AS116" s="264">
        <f t="shared" si="65"/>
        <v>0</v>
      </c>
      <c r="AT116" s="150"/>
    </row>
    <row r="117" spans="17:46" x14ac:dyDescent="0.2">
      <c r="Q117" s="284"/>
      <c r="R117" s="155"/>
      <c r="S117" s="155"/>
      <c r="T117" s="155"/>
      <c r="U117" s="155"/>
      <c r="V117" s="155"/>
      <c r="W117" s="155"/>
      <c r="X117" s="155"/>
      <c r="Y117" s="155"/>
      <c r="Z117" s="217"/>
      <c r="AA117" s="272"/>
      <c r="AB117" s="270">
        <f>+AE113</f>
        <v>1</v>
      </c>
      <c r="AC117" s="271">
        <f>+AE114</f>
        <v>0</v>
      </c>
      <c r="AD117" s="264">
        <f t="shared" si="65"/>
        <v>0</v>
      </c>
      <c r="AE117" s="264">
        <f t="shared" si="65"/>
        <v>0</v>
      </c>
      <c r="AF117" s="264">
        <f t="shared" si="65"/>
        <v>0</v>
      </c>
      <c r="AG117" s="264">
        <f t="shared" si="65"/>
        <v>0</v>
      </c>
      <c r="AH117" s="264">
        <f t="shared" si="65"/>
        <v>0</v>
      </c>
      <c r="AI117" s="264">
        <f t="shared" si="65"/>
        <v>0</v>
      </c>
      <c r="AJ117" s="264">
        <f t="shared" si="65"/>
        <v>0</v>
      </c>
      <c r="AK117" s="264">
        <f t="shared" si="65"/>
        <v>0</v>
      </c>
      <c r="AL117" s="264">
        <f t="shared" si="65"/>
        <v>0</v>
      </c>
      <c r="AM117" s="264">
        <f t="shared" si="65"/>
        <v>0</v>
      </c>
      <c r="AN117" s="264">
        <f t="shared" si="65"/>
        <v>0</v>
      </c>
      <c r="AO117" s="264">
        <f t="shared" si="65"/>
        <v>0</v>
      </c>
      <c r="AP117" s="264">
        <f t="shared" si="65"/>
        <v>0</v>
      </c>
      <c r="AQ117" s="264">
        <f t="shared" si="65"/>
        <v>0</v>
      </c>
      <c r="AR117" s="264">
        <f t="shared" si="65"/>
        <v>0</v>
      </c>
      <c r="AS117" s="264">
        <f t="shared" si="65"/>
        <v>0</v>
      </c>
      <c r="AT117" s="150"/>
    </row>
    <row r="118" spans="17:46" x14ac:dyDescent="0.2">
      <c r="Q118" s="284"/>
      <c r="R118" s="155"/>
      <c r="S118" s="155"/>
      <c r="T118" s="155"/>
      <c r="U118" s="155"/>
      <c r="V118" s="155"/>
      <c r="W118" s="155"/>
      <c r="X118" s="155"/>
      <c r="Y118" s="155"/>
      <c r="Z118" s="217"/>
      <c r="AA118" s="272"/>
      <c r="AB118" s="270">
        <f>+AF113</f>
        <v>2</v>
      </c>
      <c r="AC118" s="271">
        <f>+AF114</f>
        <v>0</v>
      </c>
      <c r="AD118" s="264">
        <f t="shared" si="65"/>
        <v>0</v>
      </c>
      <c r="AE118" s="264">
        <f t="shared" si="65"/>
        <v>0</v>
      </c>
      <c r="AF118" s="264">
        <f t="shared" si="65"/>
        <v>0</v>
      </c>
      <c r="AG118" s="264">
        <f t="shared" si="65"/>
        <v>0</v>
      </c>
      <c r="AH118" s="264">
        <f t="shared" si="65"/>
        <v>0</v>
      </c>
      <c r="AI118" s="264">
        <f t="shared" si="65"/>
        <v>0</v>
      </c>
      <c r="AJ118" s="264">
        <f t="shared" si="65"/>
        <v>0</v>
      </c>
      <c r="AK118" s="264">
        <f t="shared" si="65"/>
        <v>0</v>
      </c>
      <c r="AL118" s="264">
        <f t="shared" si="65"/>
        <v>0</v>
      </c>
      <c r="AM118" s="264">
        <f t="shared" si="65"/>
        <v>0</v>
      </c>
      <c r="AN118" s="264">
        <f t="shared" si="65"/>
        <v>0</v>
      </c>
      <c r="AO118" s="264">
        <f t="shared" si="65"/>
        <v>0</v>
      </c>
      <c r="AP118" s="264">
        <f t="shared" si="65"/>
        <v>0</v>
      </c>
      <c r="AQ118" s="264">
        <f t="shared" si="65"/>
        <v>0</v>
      </c>
      <c r="AR118" s="264">
        <f t="shared" si="65"/>
        <v>0</v>
      </c>
      <c r="AS118" s="264">
        <f t="shared" si="65"/>
        <v>0</v>
      </c>
      <c r="AT118" s="150"/>
    </row>
    <row r="119" spans="17:46" x14ac:dyDescent="0.2">
      <c r="Q119" s="284"/>
      <c r="R119" s="155"/>
      <c r="S119" s="155"/>
      <c r="T119" s="155"/>
      <c r="U119" s="155"/>
      <c r="V119" s="155"/>
      <c r="W119" s="155"/>
      <c r="X119" s="155"/>
      <c r="Y119" s="155"/>
      <c r="Z119" s="217"/>
      <c r="AA119" s="272"/>
      <c r="AB119" s="270">
        <f>+AG113</f>
        <v>3</v>
      </c>
      <c r="AC119" s="271">
        <f>+AG114</f>
        <v>0</v>
      </c>
      <c r="AD119" s="264">
        <f t="shared" si="65"/>
        <v>0</v>
      </c>
      <c r="AE119" s="264">
        <f t="shared" si="65"/>
        <v>0</v>
      </c>
      <c r="AF119" s="264">
        <f t="shared" si="65"/>
        <v>0</v>
      </c>
      <c r="AG119" s="264">
        <f t="shared" si="65"/>
        <v>0</v>
      </c>
      <c r="AH119" s="264">
        <f t="shared" si="65"/>
        <v>0</v>
      </c>
      <c r="AI119" s="264">
        <f t="shared" si="65"/>
        <v>0</v>
      </c>
      <c r="AJ119" s="264">
        <f t="shared" si="65"/>
        <v>0</v>
      </c>
      <c r="AK119" s="264">
        <f t="shared" si="65"/>
        <v>0</v>
      </c>
      <c r="AL119" s="264">
        <f t="shared" si="65"/>
        <v>0</v>
      </c>
      <c r="AM119" s="264">
        <f t="shared" si="65"/>
        <v>0</v>
      </c>
      <c r="AN119" s="264">
        <f t="shared" si="65"/>
        <v>0</v>
      </c>
      <c r="AO119" s="264">
        <f t="shared" si="65"/>
        <v>0</v>
      </c>
      <c r="AP119" s="264">
        <f t="shared" si="65"/>
        <v>0</v>
      </c>
      <c r="AQ119" s="264">
        <f t="shared" si="65"/>
        <v>0</v>
      </c>
      <c r="AR119" s="264">
        <f t="shared" si="65"/>
        <v>0</v>
      </c>
      <c r="AS119" s="264">
        <f t="shared" si="65"/>
        <v>0</v>
      </c>
      <c r="AT119" s="150"/>
    </row>
    <row r="120" spans="17:46" x14ac:dyDescent="0.2">
      <c r="Q120" s="284"/>
      <c r="R120" s="155"/>
      <c r="S120" s="155"/>
      <c r="T120" s="155"/>
      <c r="U120" s="155"/>
      <c r="V120" s="155"/>
      <c r="W120" s="155"/>
      <c r="X120" s="155"/>
      <c r="Y120" s="155"/>
      <c r="Z120" s="217"/>
      <c r="AA120" s="272"/>
      <c r="AB120" s="270">
        <f>+AH113</f>
        <v>4</v>
      </c>
      <c r="AC120" s="271">
        <f>+AH114</f>
        <v>0</v>
      </c>
      <c r="AD120" s="264">
        <f t="shared" si="65"/>
        <v>0</v>
      </c>
      <c r="AE120" s="264">
        <f t="shared" si="65"/>
        <v>0</v>
      </c>
      <c r="AF120" s="264">
        <f t="shared" si="65"/>
        <v>0</v>
      </c>
      <c r="AG120" s="264">
        <f t="shared" si="65"/>
        <v>0</v>
      </c>
      <c r="AH120" s="264">
        <f t="shared" si="65"/>
        <v>0</v>
      </c>
      <c r="AI120" s="264">
        <f t="shared" si="65"/>
        <v>0</v>
      </c>
      <c r="AJ120" s="264">
        <f t="shared" si="65"/>
        <v>0</v>
      </c>
      <c r="AK120" s="264">
        <f t="shared" si="65"/>
        <v>0</v>
      </c>
      <c r="AL120" s="264">
        <f t="shared" si="65"/>
        <v>0</v>
      </c>
      <c r="AM120" s="264">
        <f t="shared" si="65"/>
        <v>0</v>
      </c>
      <c r="AN120" s="264">
        <f t="shared" si="65"/>
        <v>0</v>
      </c>
      <c r="AO120" s="264">
        <f t="shared" si="65"/>
        <v>0</v>
      </c>
      <c r="AP120" s="264">
        <f t="shared" si="65"/>
        <v>0</v>
      </c>
      <c r="AQ120" s="264">
        <f t="shared" si="65"/>
        <v>0</v>
      </c>
      <c r="AR120" s="264">
        <f t="shared" si="65"/>
        <v>0</v>
      </c>
      <c r="AS120" s="264">
        <f t="shared" si="65"/>
        <v>0</v>
      </c>
      <c r="AT120" s="150"/>
    </row>
    <row r="121" spans="17:46" x14ac:dyDescent="0.2">
      <c r="Q121" s="284"/>
      <c r="R121" s="155"/>
      <c r="S121" s="155"/>
      <c r="T121" s="155"/>
      <c r="U121" s="155"/>
      <c r="V121" s="155"/>
      <c r="W121" s="155"/>
      <c r="X121" s="155"/>
      <c r="Y121" s="155"/>
      <c r="Z121" s="217"/>
      <c r="AA121" s="272"/>
      <c r="AB121" s="270">
        <f>+AI113</f>
        <v>5</v>
      </c>
      <c r="AC121" s="271">
        <f>+AI114</f>
        <v>0</v>
      </c>
      <c r="AD121" s="264">
        <f t="shared" si="65"/>
        <v>0</v>
      </c>
      <c r="AE121" s="264">
        <f t="shared" si="65"/>
        <v>0</v>
      </c>
      <c r="AF121" s="264">
        <f t="shared" si="65"/>
        <v>0</v>
      </c>
      <c r="AG121" s="264">
        <f t="shared" si="65"/>
        <v>0</v>
      </c>
      <c r="AH121" s="264">
        <f t="shared" si="65"/>
        <v>0</v>
      </c>
      <c r="AI121" s="264">
        <f t="shared" si="65"/>
        <v>0</v>
      </c>
      <c r="AJ121" s="264">
        <f t="shared" si="65"/>
        <v>0</v>
      </c>
      <c r="AK121" s="264">
        <f t="shared" si="65"/>
        <v>0</v>
      </c>
      <c r="AL121" s="264">
        <f t="shared" si="65"/>
        <v>0</v>
      </c>
      <c r="AM121" s="264">
        <f t="shared" si="65"/>
        <v>0</v>
      </c>
      <c r="AN121" s="264">
        <f t="shared" si="65"/>
        <v>0</v>
      </c>
      <c r="AO121" s="264">
        <f t="shared" si="65"/>
        <v>0</v>
      </c>
      <c r="AP121" s="264">
        <f t="shared" si="65"/>
        <v>0</v>
      </c>
      <c r="AQ121" s="264">
        <f t="shared" si="65"/>
        <v>0</v>
      </c>
      <c r="AR121" s="264">
        <f t="shared" si="65"/>
        <v>0</v>
      </c>
      <c r="AS121" s="264">
        <f t="shared" si="65"/>
        <v>0</v>
      </c>
      <c r="AT121" s="150"/>
    </row>
    <row r="122" spans="17:46" x14ac:dyDescent="0.2">
      <c r="Q122" s="284"/>
      <c r="R122" s="155"/>
      <c r="S122" s="155"/>
      <c r="T122" s="155"/>
      <c r="U122" s="155"/>
      <c r="V122" s="155"/>
      <c r="W122" s="155"/>
      <c r="X122" s="155"/>
      <c r="Y122" s="155"/>
      <c r="Z122" s="217"/>
      <c r="AA122" s="272"/>
      <c r="AB122" s="270">
        <f>+AJ113</f>
        <v>6</v>
      </c>
      <c r="AC122" s="271">
        <f>+AJ114</f>
        <v>0</v>
      </c>
      <c r="AD122" s="264">
        <f t="shared" si="65"/>
        <v>0</v>
      </c>
      <c r="AE122" s="264">
        <f t="shared" si="65"/>
        <v>0</v>
      </c>
      <c r="AF122" s="264">
        <f t="shared" si="65"/>
        <v>0</v>
      </c>
      <c r="AG122" s="264">
        <f t="shared" si="65"/>
        <v>0</v>
      </c>
      <c r="AH122" s="264">
        <f t="shared" si="65"/>
        <v>0</v>
      </c>
      <c r="AI122" s="264">
        <f t="shared" si="65"/>
        <v>0</v>
      </c>
      <c r="AJ122" s="264">
        <f t="shared" si="65"/>
        <v>0</v>
      </c>
      <c r="AK122" s="264">
        <f t="shared" si="65"/>
        <v>0</v>
      </c>
      <c r="AL122" s="264">
        <f t="shared" si="65"/>
        <v>0</v>
      </c>
      <c r="AM122" s="264">
        <f t="shared" si="65"/>
        <v>0</v>
      </c>
      <c r="AN122" s="264">
        <f t="shared" si="65"/>
        <v>0</v>
      </c>
      <c r="AO122" s="264">
        <f t="shared" si="65"/>
        <v>0</v>
      </c>
      <c r="AP122" s="264">
        <f t="shared" si="65"/>
        <v>0</v>
      </c>
      <c r="AQ122" s="264">
        <f t="shared" si="65"/>
        <v>0</v>
      </c>
      <c r="AR122" s="264">
        <f t="shared" si="65"/>
        <v>0</v>
      </c>
      <c r="AS122" s="264">
        <f t="shared" si="65"/>
        <v>0</v>
      </c>
      <c r="AT122" s="150"/>
    </row>
    <row r="123" spans="17:46" x14ac:dyDescent="0.2">
      <c r="Q123" s="284"/>
      <c r="R123" s="155"/>
      <c r="S123" s="155"/>
      <c r="T123" s="155"/>
      <c r="U123" s="155"/>
      <c r="V123" s="155"/>
      <c r="W123" s="155"/>
      <c r="X123" s="155"/>
      <c r="Y123" s="155"/>
      <c r="Z123" s="217"/>
      <c r="AA123" s="272"/>
      <c r="AB123" s="270">
        <f>+AK113</f>
        <v>7</v>
      </c>
      <c r="AC123" s="271">
        <f>+AK114</f>
        <v>0</v>
      </c>
      <c r="AD123" s="264">
        <f t="shared" si="65"/>
        <v>0</v>
      </c>
      <c r="AE123" s="264">
        <f t="shared" si="65"/>
        <v>0</v>
      </c>
      <c r="AF123" s="264">
        <f t="shared" si="65"/>
        <v>0</v>
      </c>
      <c r="AG123" s="264">
        <f t="shared" si="65"/>
        <v>0</v>
      </c>
      <c r="AH123" s="264">
        <f t="shared" si="65"/>
        <v>0</v>
      </c>
      <c r="AI123" s="264">
        <f t="shared" si="65"/>
        <v>0</v>
      </c>
      <c r="AJ123" s="264">
        <f t="shared" si="65"/>
        <v>0</v>
      </c>
      <c r="AK123" s="264">
        <f t="shared" si="65"/>
        <v>0</v>
      </c>
      <c r="AL123" s="264">
        <f t="shared" si="65"/>
        <v>0</v>
      </c>
      <c r="AM123" s="264">
        <f t="shared" si="65"/>
        <v>0</v>
      </c>
      <c r="AN123" s="264">
        <f t="shared" si="65"/>
        <v>0</v>
      </c>
      <c r="AO123" s="264">
        <f t="shared" si="65"/>
        <v>0</v>
      </c>
      <c r="AP123" s="264">
        <f t="shared" si="65"/>
        <v>0</v>
      </c>
      <c r="AQ123" s="264">
        <f t="shared" si="65"/>
        <v>0</v>
      </c>
      <c r="AR123" s="264">
        <f t="shared" si="65"/>
        <v>0</v>
      </c>
      <c r="AS123" s="264">
        <f t="shared" si="65"/>
        <v>0</v>
      </c>
      <c r="AT123" s="150"/>
    </row>
    <row r="124" spans="17:46" x14ac:dyDescent="0.2">
      <c r="Q124" s="284"/>
      <c r="R124" s="155"/>
      <c r="S124" s="155"/>
      <c r="T124" s="155"/>
      <c r="U124" s="155"/>
      <c r="V124" s="155"/>
      <c r="W124" s="155"/>
      <c r="X124" s="155"/>
      <c r="Y124" s="155"/>
      <c r="Z124" s="217"/>
      <c r="AA124" s="272"/>
      <c r="AB124" s="270">
        <f>+AL113</f>
        <v>8</v>
      </c>
      <c r="AC124" s="271">
        <f>+AL114</f>
        <v>0</v>
      </c>
      <c r="AD124" s="264">
        <f t="shared" si="65"/>
        <v>0</v>
      </c>
      <c r="AE124" s="264">
        <f t="shared" si="65"/>
        <v>0</v>
      </c>
      <c r="AF124" s="264">
        <f t="shared" si="65"/>
        <v>0</v>
      </c>
      <c r="AG124" s="264">
        <f t="shared" si="65"/>
        <v>0</v>
      </c>
      <c r="AH124" s="264">
        <f t="shared" si="65"/>
        <v>0</v>
      </c>
      <c r="AI124" s="264">
        <f t="shared" si="65"/>
        <v>0</v>
      </c>
      <c r="AJ124" s="264">
        <f t="shared" si="65"/>
        <v>0</v>
      </c>
      <c r="AK124" s="264">
        <f t="shared" si="65"/>
        <v>0</v>
      </c>
      <c r="AL124" s="264">
        <f t="shared" si="65"/>
        <v>0</v>
      </c>
      <c r="AM124" s="264">
        <f t="shared" si="65"/>
        <v>0</v>
      </c>
      <c r="AN124" s="264">
        <f t="shared" si="65"/>
        <v>0</v>
      </c>
      <c r="AO124" s="264">
        <f t="shared" si="65"/>
        <v>0</v>
      </c>
      <c r="AP124" s="264">
        <f t="shared" si="65"/>
        <v>0</v>
      </c>
      <c r="AQ124" s="264">
        <f t="shared" si="65"/>
        <v>0</v>
      </c>
      <c r="AR124" s="264">
        <f t="shared" si="65"/>
        <v>0</v>
      </c>
      <c r="AS124" s="264">
        <f t="shared" si="65"/>
        <v>0</v>
      </c>
      <c r="AT124" s="150"/>
    </row>
    <row r="125" spans="17:46" x14ac:dyDescent="0.2">
      <c r="Q125" s="284"/>
      <c r="R125" s="155"/>
      <c r="S125" s="155"/>
      <c r="T125" s="155"/>
      <c r="U125" s="155"/>
      <c r="V125" s="155"/>
      <c r="W125" s="155"/>
      <c r="X125" s="155"/>
      <c r="Y125" s="155"/>
      <c r="Z125" s="217"/>
      <c r="AA125" s="272"/>
      <c r="AB125" s="270">
        <f>+AM113</f>
        <v>9</v>
      </c>
      <c r="AC125" s="271">
        <f>+AM114</f>
        <v>0</v>
      </c>
      <c r="AD125" s="264">
        <f t="shared" si="65"/>
        <v>0</v>
      </c>
      <c r="AE125" s="264">
        <f t="shared" si="65"/>
        <v>0</v>
      </c>
      <c r="AF125" s="264">
        <f t="shared" si="65"/>
        <v>0</v>
      </c>
      <c r="AG125" s="264">
        <f t="shared" si="65"/>
        <v>0</v>
      </c>
      <c r="AH125" s="264">
        <f t="shared" si="65"/>
        <v>0</v>
      </c>
      <c r="AI125" s="264">
        <f t="shared" si="65"/>
        <v>0</v>
      </c>
      <c r="AJ125" s="264">
        <f t="shared" si="65"/>
        <v>0</v>
      </c>
      <c r="AK125" s="264">
        <f t="shared" si="65"/>
        <v>0</v>
      </c>
      <c r="AL125" s="264">
        <f t="shared" si="65"/>
        <v>0</v>
      </c>
      <c r="AM125" s="264">
        <f t="shared" si="65"/>
        <v>0</v>
      </c>
      <c r="AN125" s="264">
        <f t="shared" si="65"/>
        <v>0</v>
      </c>
      <c r="AO125" s="264">
        <f t="shared" si="65"/>
        <v>0</v>
      </c>
      <c r="AP125" s="264">
        <f t="shared" si="65"/>
        <v>0</v>
      </c>
      <c r="AQ125" s="264">
        <f t="shared" si="65"/>
        <v>0</v>
      </c>
      <c r="AR125" s="264">
        <f t="shared" si="65"/>
        <v>0</v>
      </c>
      <c r="AS125" s="264">
        <f t="shared" si="65"/>
        <v>0</v>
      </c>
      <c r="AT125" s="150"/>
    </row>
    <row r="126" spans="17:46" x14ac:dyDescent="0.2">
      <c r="Q126" s="284"/>
      <c r="R126" s="155"/>
      <c r="S126" s="155"/>
      <c r="T126" s="155"/>
      <c r="U126" s="155"/>
      <c r="V126" s="155"/>
      <c r="W126" s="155"/>
      <c r="X126" s="155"/>
      <c r="Y126" s="155"/>
      <c r="Z126" s="261"/>
      <c r="AA126" s="272"/>
      <c r="AB126" s="270">
        <f>+AN113</f>
        <v>10</v>
      </c>
      <c r="AC126" s="271">
        <f>+AN114</f>
        <v>0</v>
      </c>
      <c r="AD126" s="264">
        <f t="shared" ref="AD126:AS131" si="66">IF(AD$113=$AB126,$AC126/$AB$112,IF(AD$113&gt;=$AB126+$AB$112,0,IF(AD$113&lt;$AB126,0,$AC126/$AB$112)))</f>
        <v>0</v>
      </c>
      <c r="AE126" s="264">
        <f t="shared" si="66"/>
        <v>0</v>
      </c>
      <c r="AF126" s="264">
        <f t="shared" si="66"/>
        <v>0</v>
      </c>
      <c r="AG126" s="264">
        <f t="shared" si="66"/>
        <v>0</v>
      </c>
      <c r="AH126" s="264">
        <f t="shared" si="66"/>
        <v>0</v>
      </c>
      <c r="AI126" s="264">
        <f t="shared" si="66"/>
        <v>0</v>
      </c>
      <c r="AJ126" s="264">
        <f t="shared" si="66"/>
        <v>0</v>
      </c>
      <c r="AK126" s="264">
        <f t="shared" si="66"/>
        <v>0</v>
      </c>
      <c r="AL126" s="264">
        <f t="shared" si="66"/>
        <v>0</v>
      </c>
      <c r="AM126" s="264">
        <f t="shared" si="66"/>
        <v>0</v>
      </c>
      <c r="AN126" s="264">
        <f t="shared" si="66"/>
        <v>0</v>
      </c>
      <c r="AO126" s="264">
        <f t="shared" si="66"/>
        <v>0</v>
      </c>
      <c r="AP126" s="264">
        <f t="shared" si="66"/>
        <v>0</v>
      </c>
      <c r="AQ126" s="264">
        <f t="shared" si="66"/>
        <v>0</v>
      </c>
      <c r="AR126" s="264">
        <f t="shared" si="66"/>
        <v>0</v>
      </c>
      <c r="AS126" s="264">
        <f t="shared" si="66"/>
        <v>0</v>
      </c>
      <c r="AT126" s="150"/>
    </row>
    <row r="127" spans="17:46" x14ac:dyDescent="0.2">
      <c r="Q127" s="284"/>
      <c r="R127" s="155"/>
      <c r="S127" s="155"/>
      <c r="T127" s="155"/>
      <c r="U127" s="155"/>
      <c r="V127" s="155"/>
      <c r="W127" s="155"/>
      <c r="X127" s="155"/>
      <c r="Y127" s="155"/>
      <c r="Z127" s="217"/>
      <c r="AA127" s="272"/>
      <c r="AB127" s="270">
        <f>+AO113</f>
        <v>11</v>
      </c>
      <c r="AC127" s="271">
        <f>+AO114</f>
        <v>0</v>
      </c>
      <c r="AD127" s="264">
        <f t="shared" si="66"/>
        <v>0</v>
      </c>
      <c r="AE127" s="264">
        <f t="shared" si="66"/>
        <v>0</v>
      </c>
      <c r="AF127" s="264">
        <f t="shared" si="66"/>
        <v>0</v>
      </c>
      <c r="AG127" s="264">
        <f t="shared" si="66"/>
        <v>0</v>
      </c>
      <c r="AH127" s="264">
        <f t="shared" si="66"/>
        <v>0</v>
      </c>
      <c r="AI127" s="264">
        <f t="shared" si="66"/>
        <v>0</v>
      </c>
      <c r="AJ127" s="264">
        <f t="shared" si="66"/>
        <v>0</v>
      </c>
      <c r="AK127" s="264">
        <f t="shared" si="66"/>
        <v>0</v>
      </c>
      <c r="AL127" s="264">
        <f t="shared" si="66"/>
        <v>0</v>
      </c>
      <c r="AM127" s="264">
        <f t="shared" si="66"/>
        <v>0</v>
      </c>
      <c r="AN127" s="264">
        <f t="shared" si="66"/>
        <v>0</v>
      </c>
      <c r="AO127" s="264">
        <f t="shared" si="66"/>
        <v>0</v>
      </c>
      <c r="AP127" s="264">
        <f t="shared" si="66"/>
        <v>0</v>
      </c>
      <c r="AQ127" s="264">
        <f t="shared" si="66"/>
        <v>0</v>
      </c>
      <c r="AR127" s="264">
        <f t="shared" si="66"/>
        <v>0</v>
      </c>
      <c r="AS127" s="264">
        <f t="shared" si="66"/>
        <v>0</v>
      </c>
      <c r="AT127" s="150"/>
    </row>
    <row r="128" spans="17:46" x14ac:dyDescent="0.2">
      <c r="Q128" s="284"/>
      <c r="R128" s="155"/>
      <c r="S128" s="155"/>
      <c r="T128" s="155"/>
      <c r="U128" s="155"/>
      <c r="V128" s="155"/>
      <c r="W128" s="155"/>
      <c r="X128" s="155"/>
      <c r="Y128" s="155"/>
      <c r="Z128" s="217"/>
      <c r="AA128" s="272"/>
      <c r="AB128" s="270">
        <f>+AP113</f>
        <v>12</v>
      </c>
      <c r="AC128" s="271">
        <f>+AP114</f>
        <v>0</v>
      </c>
      <c r="AD128" s="264">
        <f t="shared" si="66"/>
        <v>0</v>
      </c>
      <c r="AE128" s="264">
        <f t="shared" si="66"/>
        <v>0</v>
      </c>
      <c r="AF128" s="264">
        <f t="shared" si="66"/>
        <v>0</v>
      </c>
      <c r="AG128" s="264">
        <f t="shared" si="66"/>
        <v>0</v>
      </c>
      <c r="AH128" s="264">
        <f t="shared" si="66"/>
        <v>0</v>
      </c>
      <c r="AI128" s="264">
        <f t="shared" si="66"/>
        <v>0</v>
      </c>
      <c r="AJ128" s="264">
        <f t="shared" si="66"/>
        <v>0</v>
      </c>
      <c r="AK128" s="264">
        <f t="shared" si="66"/>
        <v>0</v>
      </c>
      <c r="AL128" s="264">
        <f t="shared" si="66"/>
        <v>0</v>
      </c>
      <c r="AM128" s="264">
        <f t="shared" si="66"/>
        <v>0</v>
      </c>
      <c r="AN128" s="264">
        <f t="shared" si="66"/>
        <v>0</v>
      </c>
      <c r="AO128" s="264">
        <f t="shared" si="66"/>
        <v>0</v>
      </c>
      <c r="AP128" s="264">
        <f t="shared" si="66"/>
        <v>0</v>
      </c>
      <c r="AQ128" s="264">
        <f t="shared" si="66"/>
        <v>0</v>
      </c>
      <c r="AR128" s="264">
        <f t="shared" si="66"/>
        <v>0</v>
      </c>
      <c r="AS128" s="264">
        <f t="shared" si="66"/>
        <v>0</v>
      </c>
      <c r="AT128" s="150"/>
    </row>
    <row r="129" spans="17:47" x14ac:dyDescent="0.2">
      <c r="Q129" s="284"/>
      <c r="R129" s="155"/>
      <c r="S129" s="155"/>
      <c r="T129" s="155"/>
      <c r="U129" s="155"/>
      <c r="V129" s="155"/>
      <c r="W129" s="155"/>
      <c r="X129" s="155"/>
      <c r="Y129" s="155"/>
      <c r="Z129" s="217"/>
      <c r="AA129" s="272"/>
      <c r="AB129" s="270">
        <f>+AQ113</f>
        <v>13</v>
      </c>
      <c r="AC129" s="271">
        <f>+AQ114</f>
        <v>0</v>
      </c>
      <c r="AD129" s="264">
        <f t="shared" si="66"/>
        <v>0</v>
      </c>
      <c r="AE129" s="264">
        <f t="shared" si="66"/>
        <v>0</v>
      </c>
      <c r="AF129" s="264">
        <f t="shared" si="66"/>
        <v>0</v>
      </c>
      <c r="AG129" s="264">
        <f t="shared" si="66"/>
        <v>0</v>
      </c>
      <c r="AH129" s="264">
        <f t="shared" si="66"/>
        <v>0</v>
      </c>
      <c r="AI129" s="264">
        <f t="shared" si="66"/>
        <v>0</v>
      </c>
      <c r="AJ129" s="264">
        <f t="shared" si="66"/>
        <v>0</v>
      </c>
      <c r="AK129" s="264">
        <f t="shared" si="66"/>
        <v>0</v>
      </c>
      <c r="AL129" s="264">
        <f t="shared" si="66"/>
        <v>0</v>
      </c>
      <c r="AM129" s="264">
        <f t="shared" si="66"/>
        <v>0</v>
      </c>
      <c r="AN129" s="264">
        <f t="shared" si="66"/>
        <v>0</v>
      </c>
      <c r="AO129" s="264">
        <f t="shared" si="66"/>
        <v>0</v>
      </c>
      <c r="AP129" s="264">
        <f t="shared" si="66"/>
        <v>0</v>
      </c>
      <c r="AQ129" s="264">
        <f t="shared" si="66"/>
        <v>0</v>
      </c>
      <c r="AR129" s="264">
        <f t="shared" si="66"/>
        <v>0</v>
      </c>
      <c r="AS129" s="264">
        <f t="shared" si="66"/>
        <v>0</v>
      </c>
      <c r="AT129" s="150"/>
    </row>
    <row r="130" spans="17:47" x14ac:dyDescent="0.2">
      <c r="Q130" s="284"/>
      <c r="R130" s="155"/>
      <c r="S130" s="155"/>
      <c r="T130" s="155"/>
      <c r="U130" s="155"/>
      <c r="V130" s="155"/>
      <c r="W130" s="155"/>
      <c r="X130" s="155"/>
      <c r="Y130" s="155"/>
      <c r="Z130" s="217"/>
      <c r="AA130" s="272"/>
      <c r="AB130" s="270">
        <f>+AR113</f>
        <v>14</v>
      </c>
      <c r="AC130" s="271">
        <f>+AR114</f>
        <v>0</v>
      </c>
      <c r="AD130" s="264">
        <f t="shared" si="66"/>
        <v>0</v>
      </c>
      <c r="AE130" s="264">
        <f t="shared" si="66"/>
        <v>0</v>
      </c>
      <c r="AF130" s="264">
        <f t="shared" si="66"/>
        <v>0</v>
      </c>
      <c r="AG130" s="264">
        <f t="shared" si="66"/>
        <v>0</v>
      </c>
      <c r="AH130" s="264">
        <f t="shared" si="66"/>
        <v>0</v>
      </c>
      <c r="AI130" s="264">
        <f t="shared" si="66"/>
        <v>0</v>
      </c>
      <c r="AJ130" s="264">
        <f t="shared" si="66"/>
        <v>0</v>
      </c>
      <c r="AK130" s="264">
        <f t="shared" si="66"/>
        <v>0</v>
      </c>
      <c r="AL130" s="264">
        <f t="shared" si="66"/>
        <v>0</v>
      </c>
      <c r="AM130" s="264">
        <f t="shared" si="66"/>
        <v>0</v>
      </c>
      <c r="AN130" s="264">
        <f t="shared" si="66"/>
        <v>0</v>
      </c>
      <c r="AO130" s="264">
        <f t="shared" si="66"/>
        <v>0</v>
      </c>
      <c r="AP130" s="264">
        <f t="shared" si="66"/>
        <v>0</v>
      </c>
      <c r="AQ130" s="264">
        <f t="shared" si="66"/>
        <v>0</v>
      </c>
      <c r="AR130" s="264">
        <f t="shared" si="66"/>
        <v>0</v>
      </c>
      <c r="AS130" s="264">
        <f t="shared" si="66"/>
        <v>0</v>
      </c>
      <c r="AT130" s="150"/>
    </row>
    <row r="131" spans="17:47" x14ac:dyDescent="0.2">
      <c r="Q131" s="284"/>
      <c r="R131" s="155"/>
      <c r="S131" s="155"/>
      <c r="T131" s="155"/>
      <c r="U131" s="155"/>
      <c r="V131" s="155"/>
      <c r="W131" s="155"/>
      <c r="X131" s="155"/>
      <c r="Y131" s="155"/>
      <c r="Z131" s="217"/>
      <c r="AA131" s="272"/>
      <c r="AB131" s="270">
        <f>+AS113</f>
        <v>15</v>
      </c>
      <c r="AC131" s="271">
        <f>+AS114</f>
        <v>0</v>
      </c>
      <c r="AD131" s="264">
        <f t="shared" si="66"/>
        <v>0</v>
      </c>
      <c r="AE131" s="264">
        <f t="shared" si="66"/>
        <v>0</v>
      </c>
      <c r="AF131" s="264">
        <f t="shared" si="66"/>
        <v>0</v>
      </c>
      <c r="AG131" s="264">
        <f t="shared" si="66"/>
        <v>0</v>
      </c>
      <c r="AH131" s="264">
        <f t="shared" si="66"/>
        <v>0</v>
      </c>
      <c r="AI131" s="264">
        <f t="shared" si="66"/>
        <v>0</v>
      </c>
      <c r="AJ131" s="264">
        <f t="shared" si="66"/>
        <v>0</v>
      </c>
      <c r="AK131" s="264">
        <f t="shared" si="66"/>
        <v>0</v>
      </c>
      <c r="AL131" s="264">
        <f t="shared" si="66"/>
        <v>0</v>
      </c>
      <c r="AM131" s="264">
        <f t="shared" si="66"/>
        <v>0</v>
      </c>
      <c r="AN131" s="264">
        <f t="shared" si="66"/>
        <v>0</v>
      </c>
      <c r="AO131" s="264">
        <f t="shared" si="66"/>
        <v>0</v>
      </c>
      <c r="AP131" s="264">
        <f t="shared" si="66"/>
        <v>0</v>
      </c>
      <c r="AQ131" s="264">
        <f t="shared" si="66"/>
        <v>0</v>
      </c>
      <c r="AR131" s="264">
        <f t="shared" si="66"/>
        <v>0</v>
      </c>
      <c r="AS131" s="264">
        <f t="shared" si="66"/>
        <v>0</v>
      </c>
      <c r="AT131" s="150"/>
    </row>
    <row r="132" spans="17:47" x14ac:dyDescent="0.2">
      <c r="Q132" s="284"/>
      <c r="R132" s="155"/>
      <c r="S132" s="155"/>
      <c r="T132" s="155"/>
      <c r="U132" s="155"/>
      <c r="V132" s="155"/>
      <c r="W132" s="155"/>
      <c r="X132" s="155"/>
      <c r="Y132" s="155"/>
      <c r="Z132" s="217"/>
      <c r="AA132" s="261" t="s">
        <v>16</v>
      </c>
      <c r="AB132" s="217"/>
      <c r="AC132" s="273"/>
      <c r="AD132" s="264">
        <f>IF(AD$88=$AB132,$AC132/$AB$87,IF(AD$88&gt;=$AB132+$AB$87,0,IF(AD$88&lt;$AB132,0,$AC132/$AB$87)))</f>
        <v>0</v>
      </c>
      <c r="AE132" s="264">
        <f t="shared" ref="AE132:AS132" si="67">+AE115-AE133</f>
        <v>3571.4285714285716</v>
      </c>
      <c r="AF132" s="264">
        <f t="shared" si="67"/>
        <v>2857.1428571428569</v>
      </c>
      <c r="AG132" s="264">
        <f t="shared" si="67"/>
        <v>2142.8571428571427</v>
      </c>
      <c r="AH132" s="264">
        <f t="shared" si="67"/>
        <v>1428.5714285714284</v>
      </c>
      <c r="AI132" s="264">
        <f t="shared" si="67"/>
        <v>714.28571428571377</v>
      </c>
      <c r="AJ132" s="264">
        <f t="shared" si="67"/>
        <v>0</v>
      </c>
      <c r="AK132" s="264">
        <f t="shared" si="67"/>
        <v>0</v>
      </c>
      <c r="AL132" s="264">
        <f t="shared" si="67"/>
        <v>0</v>
      </c>
      <c r="AM132" s="264">
        <f t="shared" si="67"/>
        <v>0</v>
      </c>
      <c r="AN132" s="264">
        <f t="shared" si="67"/>
        <v>0</v>
      </c>
      <c r="AO132" s="264">
        <f t="shared" si="67"/>
        <v>0</v>
      </c>
      <c r="AP132" s="264">
        <f t="shared" si="67"/>
        <v>0</v>
      </c>
      <c r="AQ132" s="264">
        <f t="shared" si="67"/>
        <v>0</v>
      </c>
      <c r="AR132" s="264">
        <f t="shared" si="67"/>
        <v>0</v>
      </c>
      <c r="AS132" s="264">
        <f t="shared" si="67"/>
        <v>0</v>
      </c>
      <c r="AT132" s="150"/>
    </row>
    <row r="133" spans="17:47" x14ac:dyDescent="0.2">
      <c r="Q133" s="284"/>
      <c r="R133" s="155"/>
      <c r="S133" s="155"/>
      <c r="T133" s="155"/>
      <c r="U133" s="155"/>
      <c r="V133" s="155"/>
      <c r="W133" s="155"/>
      <c r="X133" s="155"/>
      <c r="Y133" s="155"/>
      <c r="Z133" s="217"/>
      <c r="AA133" s="261" t="s">
        <v>10</v>
      </c>
      <c r="AB133" s="274"/>
      <c r="AC133" s="271"/>
      <c r="AD133" s="264"/>
      <c r="AE133" s="264">
        <f>+AE134+AD134</f>
        <v>1428.5714285714287</v>
      </c>
      <c r="AF133" s="264">
        <f t="shared" ref="AF133:AS133" si="68">+AF134+AE133</f>
        <v>2142.8571428571431</v>
      </c>
      <c r="AG133" s="264">
        <f t="shared" si="68"/>
        <v>2857.1428571428573</v>
      </c>
      <c r="AH133" s="264">
        <f t="shared" si="68"/>
        <v>3571.4285714285716</v>
      </c>
      <c r="AI133" s="264">
        <f t="shared" si="68"/>
        <v>4285.7142857142862</v>
      </c>
      <c r="AJ133" s="264">
        <f t="shared" si="68"/>
        <v>5000.0000000000009</v>
      </c>
      <c r="AK133" s="264">
        <f t="shared" si="68"/>
        <v>5000.0000000000009</v>
      </c>
      <c r="AL133" s="264">
        <f t="shared" si="68"/>
        <v>5000.0000000000009</v>
      </c>
      <c r="AM133" s="264">
        <f t="shared" si="68"/>
        <v>5000.0000000000009</v>
      </c>
      <c r="AN133" s="264">
        <f t="shared" si="68"/>
        <v>5000.0000000000009</v>
      </c>
      <c r="AO133" s="264">
        <f t="shared" si="68"/>
        <v>5000.0000000000009</v>
      </c>
      <c r="AP133" s="264">
        <f t="shared" si="68"/>
        <v>5000.0000000000009</v>
      </c>
      <c r="AQ133" s="264">
        <f t="shared" si="68"/>
        <v>5000.0000000000009</v>
      </c>
      <c r="AR133" s="264">
        <f t="shared" si="68"/>
        <v>5000.0000000000009</v>
      </c>
      <c r="AS133" s="264">
        <f t="shared" si="68"/>
        <v>5000.0000000000009</v>
      </c>
      <c r="AT133" s="150"/>
    </row>
    <row r="134" spans="17:47" x14ac:dyDescent="0.2">
      <c r="Q134" s="284"/>
      <c r="R134" s="155"/>
      <c r="S134" s="155"/>
      <c r="T134" s="155"/>
      <c r="U134" s="155"/>
      <c r="V134" s="155"/>
      <c r="W134" s="155"/>
      <c r="X134" s="155"/>
      <c r="Y134" s="155"/>
      <c r="Z134" s="275"/>
      <c r="AA134" s="261" t="s">
        <v>1</v>
      </c>
      <c r="AB134" s="275"/>
      <c r="AC134" s="276"/>
      <c r="AD134" s="264">
        <f t="shared" ref="AD134:AS134" si="69">SUM(AD116:AD131)</f>
        <v>714.28571428571433</v>
      </c>
      <c r="AE134" s="264">
        <f t="shared" si="69"/>
        <v>714.28571428571433</v>
      </c>
      <c r="AF134" s="264">
        <f t="shared" si="69"/>
        <v>714.28571428571433</v>
      </c>
      <c r="AG134" s="264">
        <f t="shared" si="69"/>
        <v>714.28571428571433</v>
      </c>
      <c r="AH134" s="264">
        <f t="shared" si="69"/>
        <v>714.28571428571433</v>
      </c>
      <c r="AI134" s="264">
        <f t="shared" si="69"/>
        <v>714.28571428571433</v>
      </c>
      <c r="AJ134" s="264">
        <f t="shared" si="69"/>
        <v>714.28571428571433</v>
      </c>
      <c r="AK134" s="264">
        <f t="shared" si="69"/>
        <v>0</v>
      </c>
      <c r="AL134" s="264">
        <f t="shared" si="69"/>
        <v>0</v>
      </c>
      <c r="AM134" s="264">
        <f t="shared" si="69"/>
        <v>0</v>
      </c>
      <c r="AN134" s="264">
        <f t="shared" si="69"/>
        <v>0</v>
      </c>
      <c r="AO134" s="264">
        <f t="shared" si="69"/>
        <v>0</v>
      </c>
      <c r="AP134" s="264">
        <f t="shared" si="69"/>
        <v>0</v>
      </c>
      <c r="AQ134" s="264">
        <f t="shared" si="69"/>
        <v>0</v>
      </c>
      <c r="AR134" s="264">
        <f t="shared" si="69"/>
        <v>0</v>
      </c>
      <c r="AS134" s="264">
        <f t="shared" si="69"/>
        <v>0</v>
      </c>
      <c r="AT134" s="150"/>
    </row>
    <row r="135" spans="17:47" x14ac:dyDescent="0.2">
      <c r="Q135" s="284"/>
      <c r="R135" s="155"/>
      <c r="S135" s="155"/>
      <c r="T135" s="155"/>
      <c r="U135" s="155"/>
      <c r="V135" s="155"/>
      <c r="W135" s="155"/>
      <c r="X135" s="155"/>
      <c r="Y135" s="155"/>
      <c r="Z135" s="217"/>
      <c r="AA135" s="217"/>
      <c r="AB135" s="217"/>
      <c r="AC135" s="273"/>
      <c r="AD135" s="249"/>
      <c r="AE135" s="249"/>
      <c r="AF135" s="249"/>
      <c r="AG135" s="249"/>
      <c r="AH135" s="249"/>
      <c r="AI135" s="249"/>
      <c r="AJ135" s="249"/>
      <c r="AK135" s="249"/>
      <c r="AL135" s="249"/>
      <c r="AM135" s="249"/>
      <c r="AN135" s="249"/>
      <c r="AO135" s="249"/>
      <c r="AP135" s="249"/>
      <c r="AQ135" s="249"/>
      <c r="AR135" s="249"/>
      <c r="AS135" s="249"/>
      <c r="AT135" s="150"/>
    </row>
    <row r="136" spans="17:47" x14ac:dyDescent="0.2">
      <c r="Q136" s="284"/>
      <c r="R136" s="155"/>
      <c r="S136" s="155"/>
      <c r="T136" s="155"/>
      <c r="U136" s="155"/>
      <c r="V136" s="155"/>
      <c r="W136" s="155"/>
      <c r="X136" s="155"/>
      <c r="Y136" s="155"/>
      <c r="Z136" s="217"/>
      <c r="AA136" s="217"/>
      <c r="AB136" s="217"/>
      <c r="AC136" s="273"/>
      <c r="AD136" s="249"/>
      <c r="AE136" s="249"/>
      <c r="AF136" s="249"/>
      <c r="AG136" s="249"/>
      <c r="AH136" s="249"/>
      <c r="AI136" s="249"/>
      <c r="AJ136" s="249"/>
      <c r="AK136" s="249"/>
      <c r="AL136" s="249"/>
      <c r="AM136" s="249"/>
      <c r="AN136" s="249"/>
      <c r="AO136" s="249"/>
      <c r="AP136" s="249"/>
      <c r="AQ136" s="249"/>
      <c r="AR136" s="249"/>
      <c r="AS136" s="249"/>
      <c r="AT136" s="150"/>
    </row>
    <row r="137" spans="17:47" x14ac:dyDescent="0.2">
      <c r="Q137" s="284"/>
      <c r="R137" s="155"/>
      <c r="S137" s="155"/>
      <c r="T137" s="155"/>
      <c r="U137" s="155"/>
      <c r="V137" s="155"/>
      <c r="W137" s="155"/>
      <c r="X137" s="155"/>
      <c r="Y137" s="155"/>
      <c r="Z137" s="217"/>
      <c r="AA137" s="217"/>
      <c r="AB137" s="217"/>
      <c r="AC137" s="273"/>
      <c r="AD137" s="249"/>
      <c r="AE137" s="249"/>
      <c r="AF137" s="249"/>
      <c r="AG137" s="249"/>
      <c r="AH137" s="249"/>
      <c r="AI137" s="249"/>
      <c r="AJ137" s="249"/>
      <c r="AK137" s="249"/>
      <c r="AL137" s="249"/>
      <c r="AM137" s="249"/>
      <c r="AN137" s="249"/>
      <c r="AO137" s="249"/>
      <c r="AP137" s="249"/>
      <c r="AQ137" s="249"/>
      <c r="AR137" s="249"/>
      <c r="AS137" s="249"/>
      <c r="AT137" s="150"/>
    </row>
    <row r="138" spans="17:47" x14ac:dyDescent="0.2">
      <c r="Q138" s="284"/>
      <c r="R138" s="155"/>
      <c r="S138" s="155"/>
      <c r="T138" s="155"/>
      <c r="U138" s="155"/>
      <c r="V138" s="155"/>
      <c r="W138" s="155"/>
      <c r="X138" s="155"/>
      <c r="Y138" s="155"/>
      <c r="Z138" s="217"/>
      <c r="AA138" s="217"/>
      <c r="AB138" s="217"/>
      <c r="AC138" s="273"/>
      <c r="AD138" s="249"/>
      <c r="AE138" s="249"/>
      <c r="AF138" s="249"/>
      <c r="AG138" s="249"/>
      <c r="AH138" s="249"/>
      <c r="AI138" s="249"/>
      <c r="AJ138" s="249"/>
      <c r="AK138" s="249"/>
      <c r="AL138" s="249"/>
      <c r="AM138" s="249"/>
      <c r="AN138" s="249"/>
      <c r="AO138" s="249"/>
      <c r="AP138" s="249"/>
      <c r="AQ138" s="249"/>
      <c r="AR138" s="249"/>
      <c r="AS138" s="249"/>
      <c r="AT138" s="150"/>
    </row>
    <row r="139" spans="17:47" ht="13.5" thickBot="1" x14ac:dyDescent="0.25">
      <c r="Q139" s="284"/>
      <c r="R139" s="155"/>
      <c r="S139" s="155"/>
      <c r="T139" s="155"/>
      <c r="U139" s="155"/>
      <c r="V139" s="155"/>
      <c r="W139" s="155"/>
      <c r="X139" s="155"/>
      <c r="Y139" s="155"/>
      <c r="Z139" s="217"/>
      <c r="AA139" s="217"/>
      <c r="AB139" s="217"/>
      <c r="AC139" s="273"/>
      <c r="AD139" s="249"/>
      <c r="AE139" s="249"/>
      <c r="AF139" s="249"/>
      <c r="AG139" s="249"/>
      <c r="AH139" s="249"/>
      <c r="AI139" s="249"/>
      <c r="AJ139" s="249"/>
      <c r="AK139" s="249"/>
      <c r="AL139" s="249"/>
      <c r="AM139" s="249"/>
      <c r="AN139" s="249"/>
      <c r="AO139" s="249"/>
      <c r="AP139" s="249"/>
      <c r="AQ139" s="249"/>
      <c r="AR139" s="249"/>
      <c r="AS139" s="249"/>
      <c r="AT139" s="150"/>
    </row>
    <row r="140" spans="17:47" ht="13.5" thickBot="1" x14ac:dyDescent="0.25">
      <c r="Q140" s="284"/>
      <c r="R140" s="155"/>
      <c r="S140" s="155"/>
      <c r="T140" s="155"/>
      <c r="U140" s="155"/>
      <c r="V140" s="155"/>
      <c r="W140" s="155"/>
      <c r="X140" s="155"/>
      <c r="Y140" s="155"/>
      <c r="Z140" s="277" t="s">
        <v>12</v>
      </c>
      <c r="AA140" s="278"/>
      <c r="AB140" s="279"/>
      <c r="AC140" s="280"/>
      <c r="AD140" s="281">
        <f t="shared" ref="AD140:AS140" si="70">+AD134+AD109</f>
        <v>714.28571428571433</v>
      </c>
      <c r="AE140" s="281">
        <f t="shared" si="70"/>
        <v>4714.2857142857147</v>
      </c>
      <c r="AF140" s="281">
        <f t="shared" si="70"/>
        <v>4714.2857142857147</v>
      </c>
      <c r="AG140" s="281">
        <f t="shared" si="70"/>
        <v>4714.2857142857147</v>
      </c>
      <c r="AH140" s="281">
        <f t="shared" si="70"/>
        <v>4714.2857142857147</v>
      </c>
      <c r="AI140" s="281">
        <f t="shared" si="70"/>
        <v>4714.2857142857147</v>
      </c>
      <c r="AJ140" s="281">
        <f t="shared" si="70"/>
        <v>714.28571428571433</v>
      </c>
      <c r="AK140" s="281">
        <f t="shared" si="70"/>
        <v>0</v>
      </c>
      <c r="AL140" s="281">
        <f t="shared" si="70"/>
        <v>0</v>
      </c>
      <c r="AM140" s="281">
        <f t="shared" si="70"/>
        <v>0</v>
      </c>
      <c r="AN140" s="281">
        <f t="shared" si="70"/>
        <v>0</v>
      </c>
      <c r="AO140" s="281">
        <f t="shared" si="70"/>
        <v>0</v>
      </c>
      <c r="AP140" s="281">
        <f t="shared" si="70"/>
        <v>0</v>
      </c>
      <c r="AQ140" s="281">
        <f t="shared" si="70"/>
        <v>0</v>
      </c>
      <c r="AR140" s="281">
        <f t="shared" si="70"/>
        <v>0</v>
      </c>
      <c r="AS140" s="282">
        <f t="shared" si="70"/>
        <v>0</v>
      </c>
      <c r="AT140" s="150"/>
    </row>
    <row r="141" spans="17:47" x14ac:dyDescent="0.2">
      <c r="Q141" s="284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7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0"/>
    </row>
    <row r="142" spans="17:47" ht="13.5" thickBot="1" x14ac:dyDescent="0.25">
      <c r="Q142" s="287"/>
      <c r="R142" s="288"/>
      <c r="S142" s="288"/>
      <c r="T142" s="288"/>
      <c r="U142" s="288"/>
      <c r="V142" s="288"/>
      <c r="W142" s="288"/>
      <c r="X142" s="288"/>
      <c r="Y142" s="288"/>
      <c r="Z142" s="288"/>
      <c r="AA142" s="288"/>
      <c r="AB142" s="288"/>
      <c r="AC142" s="289"/>
      <c r="AD142" s="288"/>
      <c r="AE142" s="288"/>
      <c r="AF142" s="288"/>
      <c r="AG142" s="288"/>
      <c r="AH142" s="288"/>
      <c r="AI142" s="288"/>
      <c r="AJ142" s="288"/>
      <c r="AK142" s="288"/>
      <c r="AL142" s="288"/>
      <c r="AM142" s="288"/>
      <c r="AN142" s="288"/>
      <c r="AO142" s="288"/>
      <c r="AP142" s="288"/>
      <c r="AQ142" s="288"/>
      <c r="AR142" s="288"/>
      <c r="AS142" s="288"/>
      <c r="AT142" s="290"/>
      <c r="AU142" s="149"/>
    </row>
    <row r="143" spans="17:47" ht="13.5" thickTop="1" x14ac:dyDescent="0.2"/>
  </sheetData>
  <sheetProtection sheet="1" objects="1" scenarios="1"/>
  <mergeCells count="49">
    <mergeCell ref="B44:B51"/>
    <mergeCell ref="C44:D45"/>
    <mergeCell ref="C46:D46"/>
    <mergeCell ref="C47:D47"/>
    <mergeCell ref="C48:D48"/>
    <mergeCell ref="C49:D49"/>
    <mergeCell ref="C50:D50"/>
    <mergeCell ref="C51:D51"/>
    <mergeCell ref="B33:B40"/>
    <mergeCell ref="C33:D34"/>
    <mergeCell ref="C35:D35"/>
    <mergeCell ref="C36:D36"/>
    <mergeCell ref="C37:D37"/>
    <mergeCell ref="C38:D38"/>
    <mergeCell ref="C39:D39"/>
    <mergeCell ref="C40:D40"/>
    <mergeCell ref="C2:O2"/>
    <mergeCell ref="B5:B11"/>
    <mergeCell ref="C5:C6"/>
    <mergeCell ref="D5:D6"/>
    <mergeCell ref="E5:E6"/>
    <mergeCell ref="C15:C16"/>
    <mergeCell ref="D15:D16"/>
    <mergeCell ref="E15:E16"/>
    <mergeCell ref="F15:F16"/>
    <mergeCell ref="G15:G16"/>
    <mergeCell ref="B17:B19"/>
    <mergeCell ref="B25:B29"/>
    <mergeCell ref="C25:D26"/>
    <mergeCell ref="C27:D27"/>
    <mergeCell ref="C28:D28"/>
    <mergeCell ref="C29:D29"/>
    <mergeCell ref="R63:R66"/>
    <mergeCell ref="R72:R77"/>
    <mergeCell ref="R67:R70"/>
    <mergeCell ref="R71:S71"/>
    <mergeCell ref="T61:AC61"/>
    <mergeCell ref="AE30:AN30"/>
    <mergeCell ref="T30:AC30"/>
    <mergeCell ref="AB40:AB42"/>
    <mergeCell ref="AE87:AN87"/>
    <mergeCell ref="AE112:AN112"/>
    <mergeCell ref="AB55:AB57"/>
    <mergeCell ref="AE61:AN61"/>
    <mergeCell ref="AE38:AN38"/>
    <mergeCell ref="AB38:AC39"/>
    <mergeCell ref="AB51:AB54"/>
    <mergeCell ref="AB47:AB50"/>
    <mergeCell ref="AB43:AB46"/>
  </mergeCells>
  <conditionalFormatting sqref="E25:E51">
    <cfRule type="expression" dxfId="25" priority="16">
      <formula>$E$26&gt;(YEAR($H$11) - YEAR($G$11))</formula>
    </cfRule>
  </conditionalFormatting>
  <conditionalFormatting sqref="E7:E10">
    <cfRule type="expression" dxfId="24" priority="27">
      <formula>AND(D7&gt;="YES", E7=0)</formula>
    </cfRule>
  </conditionalFormatting>
  <conditionalFormatting sqref="O25:O51">
    <cfRule type="expression" dxfId="23" priority="26">
      <formula>$O$26&gt;(YEAR($H$11) - YEAR($G$11))</formula>
    </cfRule>
  </conditionalFormatting>
  <conditionalFormatting sqref="N25:N51">
    <cfRule type="expression" dxfId="22" priority="25">
      <formula>$N$26&gt;(YEAR($H$11) - YEAR($G$11))</formula>
    </cfRule>
  </conditionalFormatting>
  <conditionalFormatting sqref="M25:M51">
    <cfRule type="expression" dxfId="21" priority="24">
      <formula>$M$26&gt;(YEAR($H$11) - YEAR($G$11))</formula>
    </cfRule>
  </conditionalFormatting>
  <conditionalFormatting sqref="L25:L51">
    <cfRule type="expression" dxfId="20" priority="23">
      <formula>$L$26&gt;(YEAR($H$11) - YEAR($G$11))</formula>
    </cfRule>
  </conditionalFormatting>
  <conditionalFormatting sqref="K25:K51">
    <cfRule type="expression" dxfId="19" priority="22">
      <formula>$K$26&gt;(YEAR($H$11) - YEAR($G$11))</formula>
    </cfRule>
  </conditionalFormatting>
  <conditionalFormatting sqref="J25:J51">
    <cfRule type="expression" dxfId="18" priority="21">
      <formula>$J$26&gt;(YEAR($H$11) - YEAR($G$11))</formula>
    </cfRule>
  </conditionalFormatting>
  <conditionalFormatting sqref="I25:I51">
    <cfRule type="expression" dxfId="17" priority="20">
      <formula>$I$26&gt;(YEAR($H$11) - YEAR($G$11))</formula>
    </cfRule>
  </conditionalFormatting>
  <conditionalFormatting sqref="H25:H51">
    <cfRule type="expression" dxfId="16" priority="19">
      <formula>$H$26&gt;(YEAR($H$11) - YEAR($G$11))</formula>
    </cfRule>
  </conditionalFormatting>
  <conditionalFormatting sqref="G25:G51">
    <cfRule type="expression" dxfId="15" priority="18">
      <formula>$G$26&gt;(YEAR($H$11) - YEAR($G$11))</formula>
    </cfRule>
  </conditionalFormatting>
  <conditionalFormatting sqref="F25:F51">
    <cfRule type="expression" dxfId="14" priority="17">
      <formula>$F$26&gt;(YEAR($H$11) - YEAR($G$11))</formula>
    </cfRule>
  </conditionalFormatting>
  <conditionalFormatting sqref="O27">
    <cfRule type="expression" dxfId="13" priority="14">
      <formula>$N$26&gt;(YEAR($H$11) - YEAR($G$11))</formula>
    </cfRule>
  </conditionalFormatting>
  <conditionalFormatting sqref="O28">
    <cfRule type="expression" dxfId="12" priority="13">
      <formula>$N$26&gt;(YEAR($H$11) - YEAR($G$11))</formula>
    </cfRule>
  </conditionalFormatting>
  <conditionalFormatting sqref="O29">
    <cfRule type="expression" dxfId="11" priority="12">
      <formula>$N$26&gt;(YEAR($H$11) - YEAR($G$11))</formula>
    </cfRule>
  </conditionalFormatting>
  <conditionalFormatting sqref="AL5:AL19 AL31:AL35 AL39:AL58 AL62:AL83 AL88:AL109 AL113:AL134">
    <cfRule type="expression" dxfId="10" priority="11">
      <formula>AL$5=""</formula>
    </cfRule>
  </conditionalFormatting>
  <conditionalFormatting sqref="AM5:AM19 AM31:AM35 AM39:AM58 AM62:AM83 AM88:AM109 AM113:AM134">
    <cfRule type="expression" dxfId="9" priority="10">
      <formula>AM$5=""</formula>
    </cfRule>
  </conditionalFormatting>
  <conditionalFormatting sqref="AN5:AN19 AN31:AN35 AN39:AN58 AN62:AN83 AN88:AS109 AN113:AS134">
    <cfRule type="expression" dxfId="8" priority="9">
      <formula>AN$5=""</formula>
    </cfRule>
  </conditionalFormatting>
  <conditionalFormatting sqref="AK5:AK19 AK31:AK35 AK39:AK58 AK62:AK83 AK88:AK109 AK113:AK134">
    <cfRule type="expression" dxfId="7" priority="8">
      <formula>AK$5=""</formula>
    </cfRule>
  </conditionalFormatting>
  <conditionalFormatting sqref="AJ5:AJ19 AJ31:AJ35 AJ39:AJ58 AJ62:AJ83 AJ88:AJ109 AJ113:AJ134">
    <cfRule type="expression" dxfId="6" priority="7">
      <formula>AJ$5=""</formula>
    </cfRule>
  </conditionalFormatting>
  <conditionalFormatting sqref="AI5:AI19 AI31:AI35 AI39:AI58 AI62:AI83 AI88:AI109 AI113:AI134">
    <cfRule type="expression" dxfId="5" priority="6">
      <formula>AI$5=""</formula>
    </cfRule>
  </conditionalFormatting>
  <conditionalFormatting sqref="AH5:AH19 AH31:AH35 AH39:AH58 AH62:AH83 AH88:AH109 AH113:AH134">
    <cfRule type="expression" dxfId="4" priority="5">
      <formula>AH$5=""</formula>
    </cfRule>
  </conditionalFormatting>
  <conditionalFormatting sqref="AG5:AG19 AG31:AG35 AG39:AG58 AG62:AG83 AG88:AG109 AG113:AG134">
    <cfRule type="expression" dxfId="3" priority="4">
      <formula>AG$5=""</formula>
    </cfRule>
  </conditionalFormatting>
  <conditionalFormatting sqref="AF5:AF19 AF31:AF35 AF39:AF58 AF62:AF83 AF88:AF109 AF113:AF134">
    <cfRule type="expression" dxfId="2" priority="3">
      <formula>AF$5=""</formula>
    </cfRule>
  </conditionalFormatting>
  <conditionalFormatting sqref="AE5:AE19 AE31:AE35 AE39:AE58 AE62:AE83 AE88:AE109 AE113:AE134">
    <cfRule type="expression" dxfId="1" priority="2">
      <formula>AE$5=""</formula>
    </cfRule>
  </conditionalFormatting>
  <conditionalFormatting sqref="AD5:AD19 AD31:AD35 AD39:AD58 AD62:AD83 AD88:AD109 AD113:AD134">
    <cfRule type="expression" dxfId="0" priority="1">
      <formula>AD$5=""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35FE32E57094F81AD88433271F488" ma:contentTypeVersion="35" ma:contentTypeDescription="Create a new document." ma:contentTypeScope="" ma:versionID="7fcfe9ab305cf73dfe182fbb00b7e4e0">
  <xsd:schema xmlns:xsd="http://www.w3.org/2001/XMLSchema" xmlns:xs="http://www.w3.org/2001/XMLSchema" xmlns:p="http://schemas.microsoft.com/office/2006/metadata/properties" xmlns:ns2="ddc99d1b-0883-4f2c-a8e6-6d8ebaa0e5d6" targetNamespace="http://schemas.microsoft.com/office/2006/metadata/properties" ma:root="true" ma:fieldsID="902aa81d2cbcd598eeba467345b2611e" ns2:_="">
    <xsd:import namespace="ddc99d1b-0883-4f2c-a8e6-6d8ebaa0e5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99d1b-0883-4f2c-a8e6-6d8ebaa0e5d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BD45D91E027249B5860109DE080D04" ma:contentTypeVersion="2" ma:contentTypeDescription="Create a new document." ma:contentTypeScope="" ma:versionID="0b6366ca1641f4505de929d43e0013d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274a21d2db40ddb86d62634b69c311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969ED5-3018-4328-91C9-EA1AA8D69B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c99d1b-0883-4f2c-a8e6-6d8ebaa0e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205C76-834F-4B74-87A7-A08779AC2A5A}"/>
</file>

<file path=customXml/itemProps3.xml><?xml version="1.0" encoding="utf-8"?>
<ds:datastoreItem xmlns:ds="http://schemas.openxmlformats.org/officeDocument/2006/customXml" ds:itemID="{78D34510-BBA9-4EEC-A478-9FB3807BCC6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CC09FC-5EB9-4291-BA56-3F9EB5CABC9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ddc99d1b-0883-4f2c-a8e6-6d8ebaa0e5d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0.Guidelines</vt:lpstr>
      <vt:lpstr>I.InputData</vt:lpstr>
      <vt:lpstr>II.Profit&amp;Loss+CashFlow</vt:lpstr>
      <vt:lpstr>SUPPORT</vt:lpstr>
    </vt:vector>
  </TitlesOfParts>
  <Company>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Castorina</dc:creator>
  <cp:lastModifiedBy>F. Javier De Pablos Martin</cp:lastModifiedBy>
  <cp:lastPrinted>2010-04-06T09:51:54Z</cp:lastPrinted>
  <dcterms:created xsi:type="dcterms:W3CDTF">2010-04-02T08:06:11Z</dcterms:created>
  <dcterms:modified xsi:type="dcterms:W3CDTF">2020-05-27T14:42:10Z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5a4acaa1-86aa-4ba8-a852-55546de4092f</vt:lpwstr>
  </property>
  <property fmtid="{D5CDD505-2E9C-101B-9397-08002B2CF9AE}" pid="3" name="ContentTypeId">
    <vt:lpwstr>0x01010037BD45D91E027249B5860109DE080D04</vt:lpwstr>
  </property>
</Properties>
</file>